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ucka\Documents\ODPADY\KOMISJA ds. ODPADÓW\2023\Posiedzenie 8.08.2023\"/>
    </mc:Choice>
  </mc:AlternateContent>
  <xr:revisionPtr revIDLastSave="0" documentId="13_ncr:1_{840885CF-DCC7-40BE-96F1-0596E1D125F5}" xr6:coauthVersionLast="47" xr6:coauthVersionMax="47" xr10:uidLastSave="{00000000-0000-0000-0000-000000000000}"/>
  <bookViews>
    <workbookView xWindow="-120" yWindow="-120" windowWidth="29040" windowHeight="15840" activeTab="3" xr2:uid="{1C551038-9D40-4821-AD94-E3D968214321}"/>
  </bookViews>
  <sheets>
    <sheet name="Masa 2023" sheetId="1" r:id="rId1"/>
    <sheet name="KOSZTY PUK" sheetId="2" r:id="rId2"/>
    <sheet name="KOSZTY Zagospodarowania" sheetId="3" r:id="rId3"/>
    <sheet name="Deklaracje-budżet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4" l="1"/>
  <c r="C19" i="4"/>
  <c r="C17" i="4"/>
  <c r="C14" i="4"/>
  <c r="C11" i="4"/>
  <c r="C8" i="4"/>
  <c r="O6" i="3"/>
  <c r="O5" i="3"/>
  <c r="E6" i="3"/>
  <c r="D5" i="3"/>
  <c r="C6" i="3"/>
  <c r="E7" i="1"/>
  <c r="E9" i="1"/>
  <c r="J27" i="1"/>
  <c r="F9" i="1"/>
  <c r="C9" i="1"/>
  <c r="H16" i="2"/>
  <c r="H15" i="2"/>
  <c r="H14" i="2"/>
  <c r="H13" i="2"/>
  <c r="H12" i="2"/>
  <c r="H11" i="2"/>
  <c r="H10" i="2"/>
  <c r="H9" i="2"/>
  <c r="H8" i="2"/>
  <c r="H7" i="2"/>
  <c r="H6" i="2"/>
  <c r="H5" i="2"/>
  <c r="H29" i="2" s="1"/>
  <c r="W25" i="1" l="1"/>
  <c r="W24" i="1"/>
  <c r="W23" i="1"/>
  <c r="W22" i="1"/>
  <c r="W21" i="1"/>
  <c r="W20" i="1"/>
  <c r="W19" i="1"/>
  <c r="W18" i="1"/>
  <c r="W16" i="1"/>
  <c r="W15" i="1"/>
  <c r="W13" i="1"/>
  <c r="W12" i="1"/>
  <c r="W11" i="1"/>
  <c r="W10" i="1"/>
  <c r="W8" i="1"/>
  <c r="J29" i="1"/>
  <c r="J9" i="1"/>
  <c r="J6" i="1"/>
  <c r="J30" i="1" s="1"/>
  <c r="I29" i="1"/>
  <c r="I27" i="1"/>
  <c r="I9" i="1"/>
  <c r="W9" i="1" s="1"/>
  <c r="I6" i="1"/>
  <c r="H29" i="1"/>
  <c r="H9" i="1"/>
  <c r="H7" i="1"/>
  <c r="H6" i="1"/>
  <c r="H30" i="1" s="1"/>
  <c r="G9" i="1"/>
  <c r="G7" i="1"/>
  <c r="G6" i="1"/>
  <c r="G30" i="1" s="1"/>
  <c r="F14" i="1"/>
  <c r="F6" i="1"/>
  <c r="F30" i="1" s="1"/>
  <c r="E29" i="1"/>
  <c r="W29" i="1" s="1"/>
  <c r="E28" i="1"/>
  <c r="E27" i="1"/>
  <c r="W27" i="1" s="1"/>
  <c r="E26" i="1"/>
  <c r="E17" i="1"/>
  <c r="W17" i="1" s="1"/>
  <c r="E14" i="1"/>
  <c r="E6" i="1"/>
  <c r="E30" i="1" s="1"/>
  <c r="C28" i="1"/>
  <c r="W28" i="1" s="1"/>
  <c r="C26" i="1"/>
  <c r="W26" i="1" s="1"/>
  <c r="C14" i="1"/>
  <c r="C30" i="1" s="1"/>
  <c r="D7" i="1"/>
  <c r="W7" i="1" s="1"/>
  <c r="D6" i="1"/>
  <c r="F30" i="2"/>
  <c r="C30" i="2"/>
  <c r="D29" i="2"/>
  <c r="E29" i="2"/>
  <c r="F29" i="2"/>
  <c r="C29" i="2"/>
  <c r="D30" i="1" l="1"/>
  <c r="W6" i="1"/>
  <c r="W30" i="1" s="1"/>
  <c r="W14" i="1"/>
  <c r="I30" i="1"/>
  <c r="D30" i="2"/>
  <c r="E30" i="2"/>
  <c r="H30" i="2"/>
</calcChain>
</file>

<file path=xl/sharedStrings.xml><?xml version="1.0" encoding="utf-8"?>
<sst xmlns="http://schemas.openxmlformats.org/spreadsheetml/2006/main" count="182" uniqueCount="130">
  <si>
    <t>Rodzaj odpadów</t>
  </si>
  <si>
    <t>Kod odpadu</t>
  </si>
  <si>
    <t>Opakowania z papieru i tektury</t>
  </si>
  <si>
    <t>15 01 01</t>
  </si>
  <si>
    <t>Opakowania z tworzyw sztucznych</t>
  </si>
  <si>
    <t>15 01 02</t>
  </si>
  <si>
    <t>Zmieszane odpady opakowaniowe</t>
  </si>
  <si>
    <t>15 01 06</t>
  </si>
  <si>
    <t>Opakowania ze szkła kolorowe</t>
  </si>
  <si>
    <t>15 01 07</t>
  </si>
  <si>
    <t>Opakowania zawierające pozostałości substancji niebezpiecznych lub nimi zanieczyszczone</t>
  </si>
  <si>
    <t>15 01 10*</t>
  </si>
  <si>
    <t>Zużyte opony</t>
  </si>
  <si>
    <t>16 01 03</t>
  </si>
  <si>
    <t>Materiały izolacyjne inne niż wymienione w 17 06 01 i 17 06 03</t>
  </si>
  <si>
    <t>17 06 04</t>
  </si>
  <si>
    <t>Zmieszane odpady z budowy, remontów i demontażu inne niż wymienione w 17 09 01, 17 09 02 i 17 09 03</t>
  </si>
  <si>
    <t>17 09 04</t>
  </si>
  <si>
    <t>Papier i tektura</t>
  </si>
  <si>
    <t>20 01 01</t>
  </si>
  <si>
    <t>Szkło</t>
  </si>
  <si>
    <t>20 01 02</t>
  </si>
  <si>
    <t>Lampy fluoroscencyjne i inne odpady zawierające rtęć</t>
  </si>
  <si>
    <t>20 01 21*</t>
  </si>
  <si>
    <t>Leki inne niż wymienione w 20 01 31</t>
  </si>
  <si>
    <t>20 01 32</t>
  </si>
  <si>
    <t>Zużyte urządzenia elektryczne i elektroniczne inne niż wymienione w 20 01 21 i 20 01 23 zawierające niebezpieczne składniki</t>
  </si>
  <si>
    <t>20 01 35*</t>
  </si>
  <si>
    <t>Zużyte urządzenia elektryczne i elektroniczne inne niż wymienione w 20 01 21, 20 01 23 i 20 01 35</t>
  </si>
  <si>
    <t>20 01 36</t>
  </si>
  <si>
    <t>Tworzywa sztuczne</t>
  </si>
  <si>
    <t>20 01 39</t>
  </si>
  <si>
    <t>Odpady ulegające biodegradacji</t>
  </si>
  <si>
    <t>20 02 01</t>
  </si>
  <si>
    <t>Niesegregowane (zmieszane) odpady komunalne</t>
  </si>
  <si>
    <t>20 03 01</t>
  </si>
  <si>
    <t>Odpady wielkogabarytowe</t>
  </si>
  <si>
    <t>20 03 07</t>
  </si>
  <si>
    <t>Masa w Mg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</si>
  <si>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</si>
  <si>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</si>
  <si>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</si>
  <si>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</si>
  <si>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</si>
  <si>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</si>
  <si>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</si>
  <si>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</si>
  <si>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</si>
  <si>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</si>
  <si>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</si>
  <si>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</si>
  <si>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Masa odpadów narastająco w Mg</t>
  </si>
  <si>
    <t>20 01 08</t>
  </si>
  <si>
    <t>odpady kuchenne ulegające biodegradacji</t>
  </si>
  <si>
    <t>tekstylia</t>
  </si>
  <si>
    <t>20 01 11</t>
  </si>
  <si>
    <t>baterie i akumulatory inne niż wymienione w 20 01 34</t>
  </si>
  <si>
    <t>20 01 34</t>
  </si>
  <si>
    <t>20 01 23*</t>
  </si>
  <si>
    <t>urządzenia zawierające freony</t>
  </si>
  <si>
    <t>odbiór i transport odpadów zmieszanych z nieruchomości zamieszkałych</t>
  </si>
  <si>
    <t>odbiór i transport odpadów segregowanych z nieruchomości zamieszkałych oraz z PSZOK do Mateuszewa</t>
  </si>
  <si>
    <t>odbiór i transport leków</t>
  </si>
  <si>
    <t>prowadzenie PSZOK</t>
  </si>
  <si>
    <t>stawki w zł brutto za Mg</t>
  </si>
  <si>
    <t>styczeń</t>
  </si>
  <si>
    <t>rodzaj usługi</t>
  </si>
  <si>
    <t>luty</t>
  </si>
  <si>
    <t>ryczałt za prowadzenie PSZOK</t>
  </si>
  <si>
    <t>koszt brutto zł</t>
  </si>
  <si>
    <t>okres</t>
  </si>
  <si>
    <t>rodzaj danych</t>
  </si>
  <si>
    <t>suma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</si>
  <si>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</si>
  <si>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</si>
  <si>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</si>
  <si>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</si>
  <si>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</si>
  <si>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</si>
  <si>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</si>
  <si>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</si>
  <si>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</si>
  <si>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</si>
  <si>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KOSZTY ZAGOSPODAROWANIA ODPADÓW W ROKU 2022</t>
  </si>
  <si>
    <t>KOSZT NARASTAJĄCO</t>
  </si>
  <si>
    <t>SUMA MASA</t>
  </si>
  <si>
    <t>SUMA KOSZT</t>
  </si>
  <si>
    <t>W</t>
  </si>
  <si>
    <t>M</t>
  </si>
  <si>
    <t>SUMA MASY</t>
  </si>
  <si>
    <t>SUMA MASA w Mg</t>
  </si>
  <si>
    <t>SUMA KOSZT w zł</t>
  </si>
  <si>
    <t>liczba złożonych deklaracji</t>
  </si>
  <si>
    <t>liczba osób zadeklarowanych</t>
  </si>
  <si>
    <t>plan dochodów os. fiz.</t>
  </si>
  <si>
    <t>plan dochodów os. prawne</t>
  </si>
  <si>
    <t>wykonanie dochodów os. fiz.</t>
  </si>
  <si>
    <t>wykonanie dochodów os. pr.</t>
  </si>
  <si>
    <t>plan dochodów ogółem</t>
  </si>
  <si>
    <t>wykonanie dochodów ogółem</t>
  </si>
  <si>
    <t>nadwyżka - deficyt do przypisu</t>
  </si>
  <si>
    <t>przypis roczny  osoby fizyczne</t>
  </si>
  <si>
    <t>przypis roczny osoby prawne</t>
  </si>
  <si>
    <t>przypis roczny ogółem</t>
  </si>
  <si>
    <t>przypis okresowy os. fiz.</t>
  </si>
  <si>
    <t>przypis okresowy os. prawne</t>
  </si>
  <si>
    <t>przypis okresowy ogółem</t>
  </si>
  <si>
    <t>nadwyżka-deficyt do dochodów</t>
  </si>
  <si>
    <t>Rb-27S</t>
  </si>
  <si>
    <t>GOK</t>
  </si>
  <si>
    <t>FKB</t>
  </si>
  <si>
    <t>900-90002</t>
  </si>
  <si>
    <t>Styczeń WCR Jarocin</t>
  </si>
  <si>
    <t>Popiół</t>
  </si>
  <si>
    <t>ex 20 01 99</t>
  </si>
  <si>
    <t>17 01 01</t>
  </si>
  <si>
    <t>Marzec</t>
  </si>
  <si>
    <t>Odpady z betonu oraz gruz betonowy z rozbiórek i remontów</t>
  </si>
  <si>
    <t>STRUMIEŃ ODPADÓW KOMUNALNYCH Z NIERUCHOMOŚCI NIEZAMIESZKAŁYCH W ROKU 2023</t>
  </si>
  <si>
    <t>Luty ZUO Clean City (odpady były przyjmowane do dnia 3 marca)</t>
  </si>
  <si>
    <t>KOSZTY ODBIORU I TRANSPORTU ODPADÓW ORAZ PROWADZENIA PSZOK W ROKU 2023</t>
  </si>
  <si>
    <t>odbiór i transport odpadów segregowanych z nieruchomości zamieszkałych oraz z PSZOK do instalacji zagospodarowania odpadów</t>
  </si>
  <si>
    <t>ryczałt</t>
  </si>
  <si>
    <t>koszty poniesione*</t>
  </si>
  <si>
    <t xml:space="preserve">* - uwzględniono tylko koszty za 2023 r., kwoty, które zostały zaksięgowane za grudzień 2022 r. w dziale 4300 zostały odjęte </t>
  </si>
  <si>
    <t>WCR Jarocin (od 06.03 - 13.03)</t>
  </si>
  <si>
    <t>WCR Jarocin (od 14.03)</t>
  </si>
  <si>
    <t>M - Mateuszewo                       W - Witaszyczki</t>
  </si>
  <si>
    <t>KOSZT ZAGOSPODAROWANIA ODPADÓW PRZEZ ZUO CLEAN CITY</t>
  </si>
  <si>
    <t>KOSZT ZAGOSPODAROWANIA ODPADÓW PRZEZ WCR W JAROCINIE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</si>
</sst>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z_ł_-;\-* #,##0.00\ _z_ł_-;_-* &quot;-&quot;??\ _z_ł_-;_-@_-"/>
    <numFmt numFmtId="165" formatCode="#,##0.00\ _z_ł"/>
    <numFmt numFmtId="166" formatCode="#,##0.0"/>
    <numFmt numFmtId="167" formatCode="#,##0.0\ _z_ł"/>
    <numFmt numFmtId="168" formatCode="_-* #,##0.0_-;\-* #,##0.0_-;_-* &quot;-&quot;??_-;_-@_-"/>
    <numFmt numFmtId="169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center"/>
    </xf>
    <xf numFmtId="43" fontId="0" fillId="0" borderId="1" xfId="1" applyFont="1" applyBorder="1"/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3" fontId="0" fillId="0" borderId="0" xfId="1" applyFont="1" applyFill="1" applyBorder="1"/>
    <xf numFmtId="43" fontId="2" fillId="0" borderId="0" xfId="0" applyNumberFormat="1" applyFont="1"/>
    <xf numFmtId="164" fontId="0" fillId="0" borderId="0" xfId="0" applyNumberFormat="1"/>
    <xf numFmtId="0" fontId="2" fillId="0" borderId="0" xfId="0" applyFont="1"/>
    <xf numFmtId="14" fontId="2" fillId="0" borderId="1" xfId="0" applyNumberFormat="1" applyFont="1" applyBorder="1"/>
    <xf numFmtId="4" fontId="0" fillId="0" borderId="1" xfId="0" applyNumberFormat="1" applyBorder="1"/>
    <xf numFmtId="4" fontId="2" fillId="0" borderId="1" xfId="0" applyNumberFormat="1" applyFont="1" applyBorder="1"/>
    <xf numFmtId="4" fontId="2" fillId="2" borderId="1" xfId="0" applyNumberFormat="1" applyFont="1" applyFill="1" applyBorder="1"/>
    <xf numFmtId="165" fontId="0" fillId="3" borderId="1" xfId="0" applyNumberFormat="1" applyFill="1" applyBorder="1"/>
    <xf numFmtId="165" fontId="0" fillId="0" borderId="1" xfId="0" applyNumberFormat="1" applyBorder="1" applyAlignment="1">
      <alignment horizontal="right" vertical="center"/>
    </xf>
    <xf numFmtId="165" fontId="0" fillId="3" borderId="1" xfId="0" applyNumberForma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0" fillId="2" borderId="1" xfId="1" applyNumberFormat="1" applyFont="1" applyFill="1" applyBorder="1"/>
    <xf numFmtId="165" fontId="0" fillId="0" borderId="1" xfId="0" applyNumberFormat="1" applyBorder="1"/>
    <xf numFmtId="165" fontId="0" fillId="2" borderId="1" xfId="0" applyNumberFormat="1" applyFill="1" applyBorder="1"/>
    <xf numFmtId="165" fontId="0" fillId="4" borderId="1" xfId="0" applyNumberFormat="1" applyFill="1" applyBorder="1"/>
    <xf numFmtId="4" fontId="0" fillId="0" borderId="1" xfId="0" applyNumberFormat="1" applyBorder="1" applyAlignment="1">
      <alignment horizontal="right" vertical="center"/>
    </xf>
    <xf numFmtId="4" fontId="0" fillId="3" borderId="1" xfId="0" applyNumberFormat="1" applyFill="1" applyBorder="1"/>
    <xf numFmtId="4" fontId="0" fillId="3" borderId="1" xfId="0" applyNumberFormat="1" applyFill="1" applyBorder="1" applyAlignment="1">
      <alignment horizontal="right" vertical="center"/>
    </xf>
    <xf numFmtId="4" fontId="0" fillId="0" borderId="1" xfId="0" applyNumberFormat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6" fillId="4" borderId="1" xfId="0" applyNumberFormat="1" applyFont="1" applyFill="1" applyBorder="1"/>
    <xf numFmtId="4" fontId="2" fillId="2" borderId="1" xfId="0" applyNumberFormat="1" applyFont="1" applyFill="1" applyBorder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3" fontId="7" fillId="0" borderId="1" xfId="0" applyNumberFormat="1" applyFont="1" applyBorder="1" applyAlignment="1">
      <alignment horizontal="right" vertical="center" wrapText="1"/>
    </xf>
    <xf numFmtId="3" fontId="1" fillId="2" borderId="1" xfId="1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0" fontId="0" fillId="4" borderId="0" xfId="0" applyFill="1"/>
    <xf numFmtId="166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right" vertical="center"/>
    </xf>
    <xf numFmtId="166" fontId="0" fillId="0" borderId="1" xfId="0" applyNumberFormat="1" applyBorder="1" applyAlignment="1">
      <alignment horizontal="right" vertical="center"/>
    </xf>
    <xf numFmtId="166" fontId="1" fillId="0" borderId="1" xfId="1" applyNumberFormat="1" applyFont="1" applyFill="1" applyBorder="1" applyAlignment="1">
      <alignment horizontal="right" vertical="center"/>
    </xf>
    <xf numFmtId="166" fontId="0" fillId="0" borderId="1" xfId="0" applyNumberFormat="1" applyBorder="1" applyAlignment="1">
      <alignment horizontal="center"/>
    </xf>
    <xf numFmtId="166" fontId="0" fillId="0" borderId="1" xfId="0" applyNumberFormat="1" applyBorder="1"/>
    <xf numFmtId="166" fontId="6" fillId="4" borderId="1" xfId="0" applyNumberFormat="1" applyFont="1" applyFill="1" applyBorder="1"/>
    <xf numFmtId="168" fontId="2" fillId="3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166" fontId="0" fillId="2" borderId="1" xfId="0" applyNumberFormat="1" applyFill="1" applyBorder="1"/>
    <xf numFmtId="166" fontId="2" fillId="0" borderId="1" xfId="1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169" fontId="6" fillId="0" borderId="1" xfId="1" applyNumberFormat="1" applyFont="1" applyFill="1" applyBorder="1" applyAlignment="1">
      <alignment horizontal="center" vertical="center"/>
    </xf>
    <xf numFmtId="0" fontId="3" fillId="0" borderId="0" xfId="0" applyFont="1"/>
    <xf numFmtId="169" fontId="5" fillId="0" borderId="1" xfId="1" applyNumberFormat="1" applyFont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 wrapText="1"/>
    </xf>
    <xf numFmtId="168" fontId="2" fillId="3" borderId="1" xfId="0" applyNumberFormat="1" applyFont="1" applyFill="1" applyBorder="1" applyAlignment="1">
      <alignment horizontal="center" vertical="center"/>
    </xf>
    <xf numFmtId="168" fontId="2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0" fillId="3" borderId="5" xfId="0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4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2" fillId="0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3B5A-A061-47F4-AFB1-D764124B9E53}">
  <sheetPr>
    <pageSetUpPr fitToPage="1"/>
  </sheetPr>
  <dimension ref="A1:W225"/>
  <sheetViews>
    <sheetView workbookViewId="0">
      <selection activeCell="C3" sqref="C3"/>
    </sheetView>
  </sheetViews>
  <sheetFormatPr defaultRowHeight="15" x14ac:dyDescent="0.25"/>
  <cols>
    <col min="1" max="1" width="27.28515625" customWidth="1"/>
    <col min="2" max="3" width="11.7109375" customWidth="1"/>
    <col min="4" max="4" width="11" customWidth="1"/>
    <col min="5" max="5" width="14.5703125" customWidth="1"/>
    <col min="6" max="6" width="12.42578125" customWidth="1"/>
    <col min="7" max="7" width="15.28515625" customWidth="1"/>
    <col min="8" max="8" width="16.28515625" customWidth="1"/>
    <col min="9" max="9" width="16.28515625" style="53" customWidth="1"/>
    <col min="10" max="10" width="14" customWidth="1"/>
    <col min="11" max="21" width="5.7109375" hidden="1" customWidth="1"/>
    <col min="22" max="22" width="0.7109375" hidden="1" customWidth="1"/>
    <col min="23" max="23" width="15.7109375" customWidth="1"/>
  </cols>
  <sheetData>
    <row r="1" spans="1:23" x14ac:dyDescent="0.25">
      <c r="A1" s="79" t="s">
        <v>118</v>
      </c>
      <c r="B1" s="80"/>
      <c r="C1" s="80"/>
      <c r="D1" s="80"/>
      <c r="E1" s="80"/>
      <c r="I1"/>
    </row>
    <row r="2" spans="1:23" x14ac:dyDescent="0.25">
      <c r="C2" s="21"/>
      <c r="I2"/>
    </row>
    <row r="3" spans="1:23" ht="64.150000000000006" customHeight="1" x14ac:dyDescent="0.25">
      <c r="A3" s="46" t="s">
        <v>127</v>
      </c>
      <c r="D3" s="45"/>
      <c r="G3" s="100"/>
      <c r="H3" s="100"/>
      <c r="I3" s="100"/>
      <c r="J3" s="100"/>
    </row>
    <row r="4" spans="1:23" ht="83.45" customHeight="1" x14ac:dyDescent="0.25">
      <c r="A4" s="73" t="s">
        <v>0</v>
      </c>
      <c r="B4" s="73" t="s">
        <v>1</v>
      </c>
      <c r="C4" s="77" t="s">
        <v>112</v>
      </c>
      <c r="D4" s="78"/>
      <c r="E4" s="73" t="s">
        <v>119</v>
      </c>
      <c r="F4" s="101" t="s">
        <v>116</v>
      </c>
      <c r="G4" s="82"/>
      <c r="H4" s="73" t="s">
        <v>42</v>
      </c>
      <c r="I4" s="73" t="s">
        <v>43</v>
      </c>
      <c r="J4" s="73" t="s">
        <v>44</v>
      </c>
      <c r="K4" s="77" t="s">
        <v>45</v>
      </c>
      <c r="L4" s="78"/>
      <c r="M4" s="77" t="s">
        <v>46</v>
      </c>
      <c r="N4" s="78"/>
      <c r="O4" s="77" t="s">
        <v>47</v>
      </c>
      <c r="P4" s="78"/>
      <c r="Q4" s="77" t="s">
        <v>48</v>
      </c>
      <c r="R4" s="78"/>
      <c r="S4" s="77" t="s">
        <v>49</v>
      </c>
      <c r="T4" s="78"/>
      <c r="U4" s="77" t="s">
        <v>50</v>
      </c>
      <c r="V4" s="78"/>
      <c r="W4" s="73" t="s">
        <v>51</v>
      </c>
    </row>
    <row r="5" spans="1:23" ht="87" customHeight="1" x14ac:dyDescent="0.25">
      <c r="A5" s="74"/>
      <c r="B5" s="74"/>
      <c r="C5" s="5" t="s">
        <v>87</v>
      </c>
      <c r="D5" s="5" t="s">
        <v>88</v>
      </c>
      <c r="E5" s="74"/>
      <c r="F5" s="5" t="s">
        <v>125</v>
      </c>
      <c r="G5" s="3" t="s">
        <v>126</v>
      </c>
      <c r="H5" s="74"/>
      <c r="I5" s="81"/>
      <c r="J5" s="74"/>
      <c r="K5" s="5" t="s">
        <v>87</v>
      </c>
      <c r="L5" s="5" t="s">
        <v>88</v>
      </c>
      <c r="M5" s="5" t="s">
        <v>87</v>
      </c>
      <c r="N5" s="5" t="s">
        <v>88</v>
      </c>
      <c r="O5" s="5" t="s">
        <v>87</v>
      </c>
      <c r="P5" s="5" t="s">
        <v>88</v>
      </c>
      <c r="Q5" s="5" t="s">
        <v>87</v>
      </c>
      <c r="R5" s="5" t="s">
        <v>88</v>
      </c>
      <c r="S5" s="5" t="s">
        <v>87</v>
      </c>
      <c r="T5" s="5" t="s">
        <v>88</v>
      </c>
      <c r="U5" s="5" t="s">
        <v>87</v>
      </c>
      <c r="V5" s="5" t="s">
        <v>88</v>
      </c>
      <c r="W5" s="74"/>
    </row>
    <row r="6" spans="1:23" ht="28.5" x14ac:dyDescent="0.25">
      <c r="A6" s="3" t="s">
        <v>2</v>
      </c>
      <c r="B6" s="3" t="s">
        <v>3</v>
      </c>
      <c r="C6" s="54">
        <v>4.42</v>
      </c>
      <c r="D6" s="54">
        <f>2.84+41.28+3.68+0.58</f>
        <v>48.38</v>
      </c>
      <c r="E6" s="54">
        <f>24.26+9.24+8.04</f>
        <v>41.54</v>
      </c>
      <c r="F6" s="54">
        <f>10.86+3.22</f>
        <v>14.08</v>
      </c>
      <c r="G6" s="54">
        <f>21+5.96</f>
        <v>26.96</v>
      </c>
      <c r="H6" s="54">
        <f>35.06+6.06</f>
        <v>41.120000000000005</v>
      </c>
      <c r="I6" s="54">
        <f>49.96+13.34</f>
        <v>63.3</v>
      </c>
      <c r="J6" s="54">
        <f>41.64+7.56</f>
        <v>49.2</v>
      </c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2">
        <f t="shared" ref="W6:W29" si="0">SUM(C6:V6)</f>
        <v>289</v>
      </c>
    </row>
    <row r="7" spans="1:23" ht="28.5" x14ac:dyDescent="0.25">
      <c r="A7" s="3" t="s">
        <v>4</v>
      </c>
      <c r="B7" s="3" t="s">
        <v>5</v>
      </c>
      <c r="C7" s="54">
        <v>10.46</v>
      </c>
      <c r="D7" s="54">
        <f>8.1+61.1</f>
        <v>69.2</v>
      </c>
      <c r="E7" s="54">
        <f>47.16+13.02+11.5</f>
        <v>71.679999999999993</v>
      </c>
      <c r="F7" s="54">
        <v>18.32</v>
      </c>
      <c r="G7" s="54">
        <f>44.64</f>
        <v>44.64</v>
      </c>
      <c r="H7" s="54">
        <f>72.98</f>
        <v>72.98</v>
      </c>
      <c r="I7" s="54">
        <v>90.42</v>
      </c>
      <c r="J7" s="54">
        <v>80.7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4">
        <f t="shared" si="0"/>
        <v>458.4</v>
      </c>
    </row>
    <row r="8" spans="1:23" ht="28.5" x14ac:dyDescent="0.25">
      <c r="A8" s="3" t="s">
        <v>6</v>
      </c>
      <c r="B8" s="3" t="s">
        <v>7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64">
        <f t="shared" si="0"/>
        <v>0</v>
      </c>
    </row>
    <row r="9" spans="1:23" ht="28.5" x14ac:dyDescent="0.25">
      <c r="A9" s="3" t="s">
        <v>8</v>
      </c>
      <c r="B9" s="3" t="s">
        <v>9</v>
      </c>
      <c r="C9" s="54">
        <f>11.54+58.4</f>
        <v>69.94</v>
      </c>
      <c r="D9" s="54">
        <v>0</v>
      </c>
      <c r="E9" s="54">
        <f>34.7+13.76+13</f>
        <v>61.46</v>
      </c>
      <c r="F9" s="54">
        <f>15.32+5.34</f>
        <v>20.66</v>
      </c>
      <c r="G9" s="54">
        <f>12.3+26.24</f>
        <v>38.54</v>
      </c>
      <c r="H9" s="54">
        <f>4.78+46.12+1.44+4.52</f>
        <v>56.86</v>
      </c>
      <c r="I9" s="54">
        <f>13.48+61.26+7.12</f>
        <v>81.86</v>
      </c>
      <c r="J9" s="54">
        <f>14.86+61.86+4.56</f>
        <v>81.28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4">
        <f t="shared" si="0"/>
        <v>410.6</v>
      </c>
    </row>
    <row r="10" spans="1:23" ht="57" x14ac:dyDescent="0.25">
      <c r="A10" s="3" t="s">
        <v>10</v>
      </c>
      <c r="B10" s="3" t="s">
        <v>11</v>
      </c>
      <c r="C10" s="54">
        <v>2.7</v>
      </c>
      <c r="D10" s="54">
        <v>0</v>
      </c>
      <c r="E10" s="54">
        <v>0</v>
      </c>
      <c r="F10" s="54">
        <v>0</v>
      </c>
      <c r="G10" s="54">
        <v>1.72</v>
      </c>
      <c r="H10" s="54">
        <v>0</v>
      </c>
      <c r="I10" s="54">
        <v>4.16</v>
      </c>
      <c r="J10" s="54">
        <v>1.6</v>
      </c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64">
        <f t="shared" si="0"/>
        <v>10.18</v>
      </c>
    </row>
    <row r="11" spans="1:23" x14ac:dyDescent="0.25">
      <c r="A11" s="3" t="s">
        <v>12</v>
      </c>
      <c r="B11" s="3" t="s">
        <v>13</v>
      </c>
      <c r="C11" s="54">
        <v>1.38</v>
      </c>
      <c r="D11" s="54">
        <v>0</v>
      </c>
      <c r="E11" s="54">
        <v>1.6</v>
      </c>
      <c r="F11" s="54">
        <v>0</v>
      </c>
      <c r="G11" s="54">
        <v>3.52</v>
      </c>
      <c r="H11" s="54">
        <v>9.76</v>
      </c>
      <c r="I11" s="54">
        <v>14.8</v>
      </c>
      <c r="J11" s="54">
        <v>17.78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4">
        <f t="shared" si="0"/>
        <v>48.84</v>
      </c>
    </row>
    <row r="12" spans="1:23" ht="42.75" x14ac:dyDescent="0.25">
      <c r="A12" s="3" t="s">
        <v>117</v>
      </c>
      <c r="B12" s="3" t="s">
        <v>115</v>
      </c>
      <c r="C12" s="54">
        <v>19.62</v>
      </c>
      <c r="D12" s="54">
        <v>0</v>
      </c>
      <c r="E12" s="54">
        <v>5.34</v>
      </c>
      <c r="F12" s="54">
        <v>0</v>
      </c>
      <c r="G12" s="54">
        <v>0</v>
      </c>
      <c r="H12" s="54">
        <v>30.86</v>
      </c>
      <c r="I12" s="54">
        <v>31.78</v>
      </c>
      <c r="J12" s="54">
        <v>51.82</v>
      </c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4">
        <f t="shared" si="0"/>
        <v>139.41999999999999</v>
      </c>
    </row>
    <row r="13" spans="1:23" ht="42.75" x14ac:dyDescent="0.25">
      <c r="A13" s="3" t="s">
        <v>14</v>
      </c>
      <c r="B13" s="3" t="s">
        <v>15</v>
      </c>
      <c r="C13" s="54">
        <v>1</v>
      </c>
      <c r="D13" s="54">
        <v>0</v>
      </c>
      <c r="E13" s="54">
        <v>0.57999999999999996</v>
      </c>
      <c r="F13" s="54">
        <v>0</v>
      </c>
      <c r="G13" s="54">
        <v>0.4</v>
      </c>
      <c r="H13" s="54">
        <v>1</v>
      </c>
      <c r="I13" s="54">
        <v>1.78</v>
      </c>
      <c r="J13" s="54">
        <v>1.38</v>
      </c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4">
        <f t="shared" si="0"/>
        <v>6.14</v>
      </c>
    </row>
    <row r="14" spans="1:23" ht="71.25" x14ac:dyDescent="0.25">
      <c r="A14" s="4" t="s">
        <v>16</v>
      </c>
      <c r="B14" s="3" t="s">
        <v>17</v>
      </c>
      <c r="C14" s="54">
        <f>0.46+10.98</f>
        <v>11.440000000000001</v>
      </c>
      <c r="D14" s="54">
        <v>0</v>
      </c>
      <c r="E14" s="54">
        <f>18.24+5.5</f>
        <v>23.74</v>
      </c>
      <c r="F14" s="54">
        <f>9.7+0.56</f>
        <v>10.26</v>
      </c>
      <c r="G14" s="54">
        <v>28.8</v>
      </c>
      <c r="H14" s="54">
        <v>41.12</v>
      </c>
      <c r="I14" s="54">
        <v>61.94</v>
      </c>
      <c r="J14" s="54">
        <v>36.42</v>
      </c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64">
        <f t="shared" si="0"/>
        <v>213.71999999999997</v>
      </c>
    </row>
    <row r="15" spans="1:23" x14ac:dyDescent="0.25">
      <c r="A15" s="3" t="s">
        <v>18</v>
      </c>
      <c r="B15" s="3" t="s">
        <v>19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4">
        <f t="shared" si="0"/>
        <v>0</v>
      </c>
    </row>
    <row r="16" spans="1:23" x14ac:dyDescent="0.25">
      <c r="A16" s="3" t="s">
        <v>20</v>
      </c>
      <c r="B16" s="3" t="s">
        <v>21</v>
      </c>
      <c r="C16" s="54">
        <v>1.1200000000000001</v>
      </c>
      <c r="D16" s="54">
        <v>0</v>
      </c>
      <c r="E16" s="54">
        <v>2.2599999999999998</v>
      </c>
      <c r="F16" s="54">
        <v>0</v>
      </c>
      <c r="G16" s="54">
        <v>2.36</v>
      </c>
      <c r="H16" s="54">
        <v>5.54</v>
      </c>
      <c r="I16" s="54">
        <v>4.38</v>
      </c>
      <c r="J16" s="54">
        <v>3.42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62">
        <f t="shared" si="0"/>
        <v>19.079999999999998</v>
      </c>
    </row>
    <row r="17" spans="1:23" ht="34.9" customHeight="1" x14ac:dyDescent="0.25">
      <c r="A17" s="3" t="s">
        <v>53</v>
      </c>
      <c r="B17" s="3" t="s">
        <v>52</v>
      </c>
      <c r="C17" s="54">
        <v>113.96</v>
      </c>
      <c r="D17" s="54">
        <v>0</v>
      </c>
      <c r="E17" s="54">
        <f>47.92+20</f>
        <v>67.92</v>
      </c>
      <c r="F17" s="54">
        <v>0</v>
      </c>
      <c r="G17" s="54">
        <v>153.91999999999999</v>
      </c>
      <c r="H17" s="54">
        <v>350.32</v>
      </c>
      <c r="I17" s="54">
        <v>332.06</v>
      </c>
      <c r="J17" s="54">
        <v>192.94</v>
      </c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4">
        <f t="shared" si="0"/>
        <v>1211.1199999999999</v>
      </c>
    </row>
    <row r="18" spans="1:23" x14ac:dyDescent="0.25">
      <c r="A18" s="3" t="s">
        <v>54</v>
      </c>
      <c r="B18" s="3" t="s">
        <v>55</v>
      </c>
      <c r="C18" s="54">
        <v>0.76</v>
      </c>
      <c r="D18" s="54">
        <v>0</v>
      </c>
      <c r="E18" s="54">
        <v>1.18</v>
      </c>
      <c r="F18" s="54">
        <v>0</v>
      </c>
      <c r="G18" s="54">
        <v>1.3</v>
      </c>
      <c r="H18" s="54">
        <v>2.08</v>
      </c>
      <c r="I18" s="54">
        <v>4.92</v>
      </c>
      <c r="J18" s="54">
        <v>2.74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64">
        <f t="shared" si="0"/>
        <v>12.98</v>
      </c>
    </row>
    <row r="19" spans="1:23" ht="42.75" x14ac:dyDescent="0.25">
      <c r="A19" s="3" t="s">
        <v>22</v>
      </c>
      <c r="B19" s="3" t="s">
        <v>23</v>
      </c>
      <c r="C19" s="54">
        <v>0.02</v>
      </c>
      <c r="D19" s="54">
        <v>0</v>
      </c>
      <c r="E19" s="54">
        <v>0.02</v>
      </c>
      <c r="F19" s="54">
        <v>0</v>
      </c>
      <c r="G19" s="54">
        <v>0.02</v>
      </c>
      <c r="H19" s="54">
        <v>0.06</v>
      </c>
      <c r="I19" s="54">
        <v>0.02</v>
      </c>
      <c r="J19" s="54">
        <v>0.02</v>
      </c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4">
        <f t="shared" si="0"/>
        <v>0.15999999999999998</v>
      </c>
    </row>
    <row r="20" spans="1:23" ht="28.5" x14ac:dyDescent="0.25">
      <c r="A20" s="3" t="s">
        <v>59</v>
      </c>
      <c r="B20" s="3" t="s">
        <v>58</v>
      </c>
      <c r="C20" s="54">
        <v>1.02</v>
      </c>
      <c r="D20" s="54">
        <v>0</v>
      </c>
      <c r="E20" s="54">
        <v>0.48</v>
      </c>
      <c r="F20" s="54">
        <v>0</v>
      </c>
      <c r="G20" s="54">
        <v>0.56000000000000005</v>
      </c>
      <c r="H20" s="54">
        <v>2.16</v>
      </c>
      <c r="I20" s="54">
        <v>2.08</v>
      </c>
      <c r="J20" s="54">
        <v>1.88</v>
      </c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64">
        <f t="shared" si="0"/>
        <v>8.18</v>
      </c>
    </row>
    <row r="21" spans="1:23" ht="28.5" x14ac:dyDescent="0.25">
      <c r="A21" s="3" t="s">
        <v>24</v>
      </c>
      <c r="B21" s="3" t="s">
        <v>25</v>
      </c>
      <c r="C21" s="54">
        <v>0.1</v>
      </c>
      <c r="D21" s="54">
        <v>0</v>
      </c>
      <c r="E21" s="54">
        <v>0.08</v>
      </c>
      <c r="F21" s="54">
        <v>0</v>
      </c>
      <c r="G21" s="54">
        <v>0.16</v>
      </c>
      <c r="H21" s="54">
        <v>0.16</v>
      </c>
      <c r="I21" s="54">
        <v>0.12</v>
      </c>
      <c r="J21" s="54">
        <v>0.12</v>
      </c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4">
        <f t="shared" si="0"/>
        <v>0.74</v>
      </c>
    </row>
    <row r="22" spans="1:23" ht="28.5" x14ac:dyDescent="0.25">
      <c r="A22" s="3" t="s">
        <v>56</v>
      </c>
      <c r="B22" s="3" t="s">
        <v>57</v>
      </c>
      <c r="C22" s="54">
        <v>0.02</v>
      </c>
      <c r="D22" s="54">
        <v>0</v>
      </c>
      <c r="E22" s="54">
        <v>0.08</v>
      </c>
      <c r="F22" s="54">
        <v>0</v>
      </c>
      <c r="G22" s="54">
        <v>0.02</v>
      </c>
      <c r="H22" s="54">
        <v>0.04</v>
      </c>
      <c r="I22" s="54">
        <v>0.08</v>
      </c>
      <c r="J22" s="54">
        <v>0.02</v>
      </c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64">
        <f t="shared" si="0"/>
        <v>0.26</v>
      </c>
    </row>
    <row r="23" spans="1:23" ht="85.5" x14ac:dyDescent="0.25">
      <c r="A23" s="3" t="s">
        <v>26</v>
      </c>
      <c r="B23" s="3" t="s">
        <v>27</v>
      </c>
      <c r="C23" s="54">
        <v>0</v>
      </c>
      <c r="D23" s="54">
        <v>0</v>
      </c>
      <c r="E23" s="54">
        <v>0</v>
      </c>
      <c r="F23" s="54">
        <v>0</v>
      </c>
      <c r="G23" s="54">
        <v>1.1399999999999999</v>
      </c>
      <c r="H23" s="54">
        <v>0</v>
      </c>
      <c r="I23" s="54">
        <v>1.18</v>
      </c>
      <c r="J23" s="54">
        <v>0</v>
      </c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4">
        <f t="shared" si="0"/>
        <v>2.3199999999999998</v>
      </c>
    </row>
    <row r="24" spans="1:23" ht="57" x14ac:dyDescent="0.25">
      <c r="A24" s="3" t="s">
        <v>28</v>
      </c>
      <c r="B24" s="3" t="s">
        <v>29</v>
      </c>
      <c r="C24" s="54">
        <v>2.84</v>
      </c>
      <c r="D24" s="54">
        <v>0</v>
      </c>
      <c r="E24" s="54">
        <v>1.04</v>
      </c>
      <c r="F24" s="54">
        <v>0</v>
      </c>
      <c r="G24" s="54">
        <v>3.76</v>
      </c>
      <c r="H24" s="54">
        <v>2.08</v>
      </c>
      <c r="I24" s="54">
        <v>2.56</v>
      </c>
      <c r="J24" s="54">
        <v>2.6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64">
        <f t="shared" si="0"/>
        <v>14.879999999999999</v>
      </c>
    </row>
    <row r="25" spans="1:23" x14ac:dyDescent="0.25">
      <c r="A25" s="3" t="s">
        <v>30</v>
      </c>
      <c r="B25" s="3" t="s">
        <v>31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4">
        <f t="shared" si="0"/>
        <v>0</v>
      </c>
    </row>
    <row r="26" spans="1:23" ht="28.5" x14ac:dyDescent="0.25">
      <c r="A26" s="3" t="s">
        <v>113</v>
      </c>
      <c r="B26" s="3" t="s">
        <v>114</v>
      </c>
      <c r="C26" s="54">
        <f>124.92+5.08</f>
        <v>130</v>
      </c>
      <c r="D26" s="54">
        <v>0</v>
      </c>
      <c r="E26" s="54">
        <f>101.44+26.7+25</f>
        <v>153.13999999999999</v>
      </c>
      <c r="F26" s="54">
        <v>36.04</v>
      </c>
      <c r="G26" s="54">
        <v>75.08</v>
      </c>
      <c r="H26" s="54">
        <v>92.2</v>
      </c>
      <c r="I26" s="54">
        <v>0.2</v>
      </c>
      <c r="J26" s="54">
        <v>25.34</v>
      </c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4">
        <f t="shared" si="0"/>
        <v>511.99999999999994</v>
      </c>
    </row>
    <row r="27" spans="1:23" ht="28.5" x14ac:dyDescent="0.25">
      <c r="A27" s="3" t="s">
        <v>32</v>
      </c>
      <c r="B27" s="3" t="s">
        <v>33</v>
      </c>
      <c r="C27" s="54">
        <v>48.9</v>
      </c>
      <c r="D27" s="54">
        <v>0</v>
      </c>
      <c r="E27" s="54">
        <f>53.58+18.84</f>
        <v>72.42</v>
      </c>
      <c r="F27" s="54">
        <v>44.96</v>
      </c>
      <c r="G27" s="54">
        <v>52.22</v>
      </c>
      <c r="H27" s="54">
        <v>28.58</v>
      </c>
      <c r="I27" s="54">
        <f>49.06+243.28</f>
        <v>292.34000000000003</v>
      </c>
      <c r="J27" s="54">
        <f>17.2+163.74</f>
        <v>180.94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64">
        <f t="shared" si="0"/>
        <v>720.36000000000013</v>
      </c>
    </row>
    <row r="28" spans="1:23" ht="42.75" x14ac:dyDescent="0.25">
      <c r="A28" s="4" t="s">
        <v>34</v>
      </c>
      <c r="B28" s="3" t="s">
        <v>35</v>
      </c>
      <c r="C28" s="54">
        <f>211.68+21.9+193.16</f>
        <v>426.74</v>
      </c>
      <c r="D28" s="54">
        <v>0</v>
      </c>
      <c r="E28" s="54">
        <f>277.72+48.038+70.502</f>
        <v>396.26000000000005</v>
      </c>
      <c r="F28" s="54">
        <v>102.24</v>
      </c>
      <c r="G28" s="54">
        <v>274.72000000000003</v>
      </c>
      <c r="H28" s="54">
        <v>415.24</v>
      </c>
      <c r="I28" s="54">
        <v>409.46</v>
      </c>
      <c r="J28" s="54">
        <v>375.78</v>
      </c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4">
        <f t="shared" si="0"/>
        <v>2400.44</v>
      </c>
    </row>
    <row r="29" spans="1:23" x14ac:dyDescent="0.25">
      <c r="A29" s="3" t="s">
        <v>36</v>
      </c>
      <c r="B29" s="3" t="s">
        <v>37</v>
      </c>
      <c r="C29" s="54">
        <v>22.42</v>
      </c>
      <c r="D29" s="54">
        <v>0</v>
      </c>
      <c r="E29" s="54">
        <f>13.78+7.56+4</f>
        <v>25.34</v>
      </c>
      <c r="F29" s="54">
        <v>0</v>
      </c>
      <c r="G29" s="54">
        <v>46.78</v>
      </c>
      <c r="H29" s="54">
        <f>5.02+82.44</f>
        <v>87.46</v>
      </c>
      <c r="I29" s="54">
        <f>145.18+40.98</f>
        <v>186.16</v>
      </c>
      <c r="J29" s="54">
        <f>83.64+17.24</f>
        <v>100.88</v>
      </c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62">
        <f t="shared" si="0"/>
        <v>469.03999999999996</v>
      </c>
    </row>
    <row r="30" spans="1:23" s="7" customFormat="1" x14ac:dyDescent="0.25">
      <c r="A30" s="75" t="s">
        <v>89</v>
      </c>
      <c r="B30" s="76"/>
      <c r="C30" s="72">
        <f t="shared" ref="C30:J30" si="1">SUM(C6:C29)</f>
        <v>868.86</v>
      </c>
      <c r="D30" s="71">
        <f t="shared" si="1"/>
        <v>117.58000000000001</v>
      </c>
      <c r="E30" s="72">
        <f t="shared" si="1"/>
        <v>926.16000000000008</v>
      </c>
      <c r="F30" s="72">
        <f t="shared" si="1"/>
        <v>246.56</v>
      </c>
      <c r="G30" s="72">
        <f t="shared" si="1"/>
        <v>756.62</v>
      </c>
      <c r="H30" s="72">
        <f t="shared" si="1"/>
        <v>1239.6199999999999</v>
      </c>
      <c r="I30" s="72">
        <f t="shared" si="1"/>
        <v>1585.6000000000001</v>
      </c>
      <c r="J30" s="72">
        <f t="shared" si="1"/>
        <v>1206.8600000000001</v>
      </c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61">
        <f>SUM(W6:W29)</f>
        <v>6947.86</v>
      </c>
    </row>
    <row r="31" spans="1:23" x14ac:dyDescent="0.25">
      <c r="C31" s="20"/>
      <c r="F31" s="20"/>
      <c r="I31"/>
    </row>
    <row r="32" spans="1:23" x14ac:dyDescent="0.25">
      <c r="C32" s="20"/>
      <c r="I32"/>
    </row>
    <row r="33" spans="9:23" x14ac:dyDescent="0.25">
      <c r="I33" s="20"/>
      <c r="W33" s="20"/>
    </row>
    <row r="34" spans="9:23" x14ac:dyDescent="0.25">
      <c r="I34"/>
      <c r="W34" s="20"/>
    </row>
    <row r="35" spans="9:23" x14ac:dyDescent="0.25">
      <c r="I35"/>
    </row>
    <row r="36" spans="9:23" x14ac:dyDescent="0.25">
      <c r="I36"/>
    </row>
    <row r="37" spans="9:23" x14ac:dyDescent="0.25">
      <c r="I37"/>
    </row>
    <row r="38" spans="9:23" x14ac:dyDescent="0.25">
      <c r="I38"/>
    </row>
    <row r="39" spans="9:23" x14ac:dyDescent="0.25">
      <c r="I39"/>
    </row>
    <row r="40" spans="9:23" x14ac:dyDescent="0.25">
      <c r="I40"/>
    </row>
    <row r="41" spans="9:23" x14ac:dyDescent="0.25">
      <c r="I41"/>
    </row>
    <row r="42" spans="9:23" x14ac:dyDescent="0.25">
      <c r="I42"/>
    </row>
    <row r="43" spans="9:23" x14ac:dyDescent="0.25">
      <c r="I43"/>
    </row>
    <row r="44" spans="9:23" x14ac:dyDescent="0.25">
      <c r="I44"/>
    </row>
    <row r="45" spans="9:23" x14ac:dyDescent="0.25">
      <c r="I45"/>
    </row>
    <row r="46" spans="9:23" x14ac:dyDescent="0.25">
      <c r="I46"/>
    </row>
    <row r="47" spans="9:23" x14ac:dyDescent="0.25">
      <c r="I47"/>
    </row>
    <row r="48" spans="9:23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</sheetData>
  <mergeCells count="17">
    <mergeCell ref="A1:E1"/>
    <mergeCell ref="H4:H5"/>
    <mergeCell ref="I4:I5"/>
    <mergeCell ref="J4:J5"/>
    <mergeCell ref="E4:E5"/>
    <mergeCell ref="F4:G4"/>
    <mergeCell ref="W4:W5"/>
    <mergeCell ref="A30:B30"/>
    <mergeCell ref="C4:D4"/>
    <mergeCell ref="B4:B5"/>
    <mergeCell ref="A4:A5"/>
    <mergeCell ref="K4:L4"/>
    <mergeCell ref="U4:V4"/>
    <mergeCell ref="S4:T4"/>
    <mergeCell ref="O4:P4"/>
    <mergeCell ref="M4:N4"/>
    <mergeCell ref="Q4:R4"/>
  </mergeCells>
  <pageMargins left="0.7" right="0.7" top="0.75" bottom="0.75" header="0.3" footer="0.3"/>
  <pageSetup paperSize="8" scale="9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601CE-AD99-4F6A-AC0C-1841BE26C777}">
  <sheetPr>
    <pageSetUpPr fitToPage="1"/>
  </sheetPr>
  <dimension ref="A1:N32"/>
  <sheetViews>
    <sheetView topLeftCell="A7" workbookViewId="0">
      <selection activeCell="J18" sqref="J18"/>
    </sheetView>
  </sheetViews>
  <sheetFormatPr defaultRowHeight="15" x14ac:dyDescent="0.25"/>
  <cols>
    <col min="1" max="1" width="11.5703125" customWidth="1"/>
    <col min="2" max="2" width="13.5703125" bestFit="1" customWidth="1"/>
    <col min="3" max="3" width="13.7109375" style="7" customWidth="1"/>
    <col min="4" max="4" width="14.85546875" customWidth="1"/>
    <col min="5" max="5" width="18.140625" customWidth="1"/>
    <col min="6" max="7" width="13.42578125" customWidth="1"/>
    <col min="8" max="8" width="14.85546875" bestFit="1" customWidth="1"/>
    <col min="9" max="9" width="6.5703125" customWidth="1"/>
    <col min="10" max="11" width="15" customWidth="1"/>
    <col min="12" max="12" width="18.42578125" customWidth="1"/>
    <col min="13" max="13" width="11.28515625" customWidth="1"/>
    <col min="14" max="14" width="11.7109375" customWidth="1"/>
  </cols>
  <sheetData>
    <row r="1" spans="1:14" ht="33.75" customHeight="1" x14ac:dyDescent="0.25">
      <c r="A1" s="83" t="s">
        <v>120</v>
      </c>
      <c r="B1" s="80"/>
      <c r="C1" s="80"/>
      <c r="D1" s="80"/>
      <c r="E1" s="80"/>
      <c r="F1" s="80"/>
      <c r="G1" s="80"/>
      <c r="H1" s="80"/>
    </row>
    <row r="2" spans="1:14" x14ac:dyDescent="0.25">
      <c r="B2" s="87"/>
      <c r="C2" s="87"/>
      <c r="D2" s="87"/>
      <c r="E2" s="87"/>
      <c r="F2" s="11"/>
      <c r="I2" s="87"/>
      <c r="J2" s="88"/>
      <c r="K2" s="88"/>
      <c r="L2" s="88"/>
      <c r="M2" s="88"/>
    </row>
    <row r="3" spans="1:14" x14ac:dyDescent="0.25">
      <c r="C3" s="89" t="s">
        <v>66</v>
      </c>
      <c r="D3" s="90"/>
      <c r="E3" s="90"/>
      <c r="F3" s="90"/>
      <c r="G3" s="90"/>
      <c r="I3" s="12"/>
      <c r="J3" s="93" t="s">
        <v>64</v>
      </c>
      <c r="K3" s="89"/>
      <c r="L3" s="94"/>
      <c r="M3" s="94"/>
      <c r="N3" s="94"/>
    </row>
    <row r="4" spans="1:14" ht="150" x14ac:dyDescent="0.25">
      <c r="A4" s="13" t="s">
        <v>70</v>
      </c>
      <c r="B4" s="13" t="s">
        <v>71</v>
      </c>
      <c r="C4" s="10" t="s">
        <v>60</v>
      </c>
      <c r="D4" s="10" t="s">
        <v>61</v>
      </c>
      <c r="E4" s="10" t="s">
        <v>121</v>
      </c>
      <c r="F4" s="10" t="s">
        <v>62</v>
      </c>
      <c r="G4" s="10" t="s">
        <v>63</v>
      </c>
      <c r="H4" s="10" t="s">
        <v>72</v>
      </c>
      <c r="J4" s="10" t="s">
        <v>60</v>
      </c>
      <c r="K4" s="10" t="s">
        <v>61</v>
      </c>
      <c r="L4" s="10" t="s">
        <v>121</v>
      </c>
      <c r="M4" s="10" t="s">
        <v>62</v>
      </c>
      <c r="N4" s="10" t="s">
        <v>68</v>
      </c>
    </row>
    <row r="5" spans="1:14" x14ac:dyDescent="0.25">
      <c r="A5" s="91" t="s">
        <v>65</v>
      </c>
      <c r="B5" s="1" t="s">
        <v>38</v>
      </c>
      <c r="C5" s="55">
        <v>426.74</v>
      </c>
      <c r="D5" s="55">
        <v>117.58</v>
      </c>
      <c r="E5" s="55">
        <v>442.72</v>
      </c>
      <c r="F5" s="55">
        <v>0.1</v>
      </c>
      <c r="G5" s="27" t="s">
        <v>122</v>
      </c>
      <c r="H5" s="47">
        <f>C5+D5+E5+F5</f>
        <v>987.1400000000001</v>
      </c>
      <c r="J5" s="8">
        <v>323.75</v>
      </c>
      <c r="K5" s="8">
        <v>340.17</v>
      </c>
      <c r="L5" s="8">
        <v>364.98</v>
      </c>
      <c r="M5" s="8">
        <v>2678.15</v>
      </c>
      <c r="N5" s="9">
        <v>18602.13</v>
      </c>
    </row>
    <row r="6" spans="1:14" x14ac:dyDescent="0.25">
      <c r="A6" s="92"/>
      <c r="B6" s="6" t="s">
        <v>69</v>
      </c>
      <c r="C6" s="28">
        <v>138157.07999999999</v>
      </c>
      <c r="D6" s="28">
        <v>39997.19</v>
      </c>
      <c r="E6" s="28">
        <v>161547.45000000001</v>
      </c>
      <c r="F6" s="28">
        <v>267.82</v>
      </c>
      <c r="G6" s="28">
        <v>18602.13</v>
      </c>
      <c r="H6" s="48">
        <f>C6+D6+E6+F6+G6</f>
        <v>358571.67</v>
      </c>
    </row>
    <row r="7" spans="1:14" x14ac:dyDescent="0.25">
      <c r="A7" s="91" t="s">
        <v>67</v>
      </c>
      <c r="B7" s="1" t="s">
        <v>38</v>
      </c>
      <c r="C7" s="55">
        <v>346.76</v>
      </c>
      <c r="D7" s="55">
        <v>0</v>
      </c>
      <c r="E7" s="55">
        <v>451.5</v>
      </c>
      <c r="F7" s="55">
        <v>0.08</v>
      </c>
      <c r="G7" s="27" t="s">
        <v>122</v>
      </c>
      <c r="H7" s="47">
        <f>C7+D7+E7+F7</f>
        <v>798.34</v>
      </c>
    </row>
    <row r="8" spans="1:14" x14ac:dyDescent="0.25">
      <c r="A8" s="92"/>
      <c r="B8" s="1" t="s">
        <v>69</v>
      </c>
      <c r="C8" s="28">
        <v>112263.55</v>
      </c>
      <c r="D8" s="28">
        <v>0</v>
      </c>
      <c r="E8" s="28">
        <v>164788.47</v>
      </c>
      <c r="F8" s="28">
        <v>214.25</v>
      </c>
      <c r="G8" s="28">
        <v>18602.13</v>
      </c>
      <c r="H8" s="48">
        <f>C8+D8+E8+F8+G8</f>
        <v>295868.40000000002</v>
      </c>
    </row>
    <row r="9" spans="1:14" x14ac:dyDescent="0.25">
      <c r="A9" s="95" t="s">
        <v>73</v>
      </c>
      <c r="B9" s="23" t="s">
        <v>38</v>
      </c>
      <c r="C9" s="56">
        <v>426.46</v>
      </c>
      <c r="D9" s="57">
        <v>0</v>
      </c>
      <c r="E9" s="57">
        <v>703.76</v>
      </c>
      <c r="F9" s="57">
        <v>0.16</v>
      </c>
      <c r="G9" s="34" t="s">
        <v>122</v>
      </c>
      <c r="H9" s="49">
        <f>C9+D9+E9+F9</f>
        <v>1130.3800000000001</v>
      </c>
    </row>
    <row r="10" spans="1:14" x14ac:dyDescent="0.25">
      <c r="A10" s="96"/>
      <c r="B10" s="35" t="s">
        <v>69</v>
      </c>
      <c r="C10" s="36">
        <v>138066.43</v>
      </c>
      <c r="D10" s="36">
        <v>0</v>
      </c>
      <c r="E10" s="36">
        <v>256858.32</v>
      </c>
      <c r="F10" s="36">
        <v>428.5</v>
      </c>
      <c r="G10" s="36">
        <v>18602.13</v>
      </c>
      <c r="H10" s="50">
        <f>C10+D10+E10+F10+G10</f>
        <v>413955.38</v>
      </c>
      <c r="J10" s="65"/>
      <c r="K10" s="41"/>
    </row>
    <row r="11" spans="1:14" x14ac:dyDescent="0.25">
      <c r="A11" s="84" t="s">
        <v>74</v>
      </c>
      <c r="B11" s="23" t="s">
        <v>38</v>
      </c>
      <c r="C11" s="58">
        <v>415.24</v>
      </c>
      <c r="D11" s="59">
        <v>0</v>
      </c>
      <c r="E11" s="59">
        <v>824.22</v>
      </c>
      <c r="F11" s="59">
        <v>0.16</v>
      </c>
      <c r="G11" s="23" t="s">
        <v>122</v>
      </c>
      <c r="H11" s="51">
        <f>C11+D11+E11+F11</f>
        <v>1239.6200000000001</v>
      </c>
      <c r="J11" s="41"/>
    </row>
    <row r="12" spans="1:14" x14ac:dyDescent="0.25">
      <c r="A12" s="84"/>
      <c r="B12" s="35" t="s">
        <v>69</v>
      </c>
      <c r="C12" s="38">
        <v>134433.95000000001</v>
      </c>
      <c r="D12" s="35">
        <v>0</v>
      </c>
      <c r="E12" s="35">
        <v>300823.82</v>
      </c>
      <c r="F12" s="35">
        <v>428.5</v>
      </c>
      <c r="G12" s="35">
        <v>18602.13</v>
      </c>
      <c r="H12" s="52">
        <f>C12+D12+E12+F12+G12</f>
        <v>454288.4</v>
      </c>
    </row>
    <row r="13" spans="1:14" x14ac:dyDescent="0.25">
      <c r="A13" s="84" t="s">
        <v>75</v>
      </c>
      <c r="B13" s="23" t="s">
        <v>38</v>
      </c>
      <c r="C13" s="58">
        <v>409.46</v>
      </c>
      <c r="D13" s="59">
        <v>0</v>
      </c>
      <c r="E13" s="59">
        <v>1176.02</v>
      </c>
      <c r="F13" s="59">
        <v>0.12</v>
      </c>
      <c r="G13" s="23" t="s">
        <v>122</v>
      </c>
      <c r="H13" s="51">
        <f>C13+D13+E13+F13</f>
        <v>1585.6</v>
      </c>
    </row>
    <row r="14" spans="1:14" x14ac:dyDescent="0.25">
      <c r="A14" s="84"/>
      <c r="B14" s="35" t="s">
        <v>69</v>
      </c>
      <c r="C14" s="38">
        <v>132562.68</v>
      </c>
      <c r="D14" s="35">
        <v>0</v>
      </c>
      <c r="E14" s="35">
        <v>429223.78</v>
      </c>
      <c r="F14" s="35">
        <v>321.38</v>
      </c>
      <c r="G14" s="35">
        <v>18602.13</v>
      </c>
      <c r="H14" s="52">
        <f>C14+D14+E14+F14+G14</f>
        <v>580709.97</v>
      </c>
    </row>
    <row r="15" spans="1:14" x14ac:dyDescent="0.25">
      <c r="A15" s="84" t="s">
        <v>76</v>
      </c>
      <c r="B15" s="23" t="s">
        <v>38</v>
      </c>
      <c r="C15" s="58">
        <v>375.78</v>
      </c>
      <c r="D15" s="59">
        <v>0</v>
      </c>
      <c r="E15" s="59">
        <v>830.96</v>
      </c>
      <c r="F15" s="59">
        <v>0.12</v>
      </c>
      <c r="G15" s="23" t="s">
        <v>122</v>
      </c>
      <c r="H15" s="51">
        <f>C15+E15+F15</f>
        <v>1206.8599999999999</v>
      </c>
    </row>
    <row r="16" spans="1:14" x14ac:dyDescent="0.25">
      <c r="A16" s="84"/>
      <c r="B16" s="35" t="s">
        <v>69</v>
      </c>
      <c r="C16" s="38">
        <v>121658.78</v>
      </c>
      <c r="D16" s="35">
        <v>0</v>
      </c>
      <c r="E16" s="35">
        <v>303283.78000000003</v>
      </c>
      <c r="F16" s="35">
        <v>321.38</v>
      </c>
      <c r="G16" s="35">
        <v>18602.13</v>
      </c>
      <c r="H16" s="52">
        <f>C16+E16+F16+G16</f>
        <v>443866.07000000007</v>
      </c>
    </row>
    <row r="17" spans="1:8" x14ac:dyDescent="0.25">
      <c r="A17" s="84" t="s">
        <v>77</v>
      </c>
      <c r="B17" s="23" t="s">
        <v>38</v>
      </c>
      <c r="C17" s="37"/>
      <c r="D17" s="23"/>
      <c r="E17" s="23"/>
      <c r="F17" s="23"/>
      <c r="G17" s="23"/>
      <c r="H17" s="51"/>
    </row>
    <row r="18" spans="1:8" x14ac:dyDescent="0.25">
      <c r="A18" s="84"/>
      <c r="B18" s="35" t="s">
        <v>69</v>
      </c>
      <c r="C18" s="38"/>
      <c r="D18" s="35"/>
      <c r="E18" s="35"/>
      <c r="F18" s="35"/>
      <c r="G18" s="35"/>
      <c r="H18" s="52"/>
    </row>
    <row r="19" spans="1:8" x14ac:dyDescent="0.25">
      <c r="A19" s="84" t="s">
        <v>78</v>
      </c>
      <c r="B19" s="23" t="s">
        <v>38</v>
      </c>
      <c r="C19" s="37"/>
      <c r="D19" s="23"/>
      <c r="E19" s="23"/>
      <c r="F19" s="23"/>
      <c r="G19" s="23"/>
      <c r="H19" s="51"/>
    </row>
    <row r="20" spans="1:8" x14ac:dyDescent="0.25">
      <c r="A20" s="84"/>
      <c r="B20" s="35" t="s">
        <v>69</v>
      </c>
      <c r="C20" s="38"/>
      <c r="D20" s="35"/>
      <c r="E20" s="35"/>
      <c r="F20" s="35"/>
      <c r="G20" s="35"/>
      <c r="H20" s="52"/>
    </row>
    <row r="21" spans="1:8" x14ac:dyDescent="0.25">
      <c r="A21" s="84" t="s">
        <v>79</v>
      </c>
      <c r="B21" s="23" t="s">
        <v>38</v>
      </c>
      <c r="C21" s="37"/>
      <c r="D21" s="23"/>
      <c r="E21" s="23"/>
      <c r="F21" s="23"/>
      <c r="G21" s="23"/>
      <c r="H21" s="51"/>
    </row>
    <row r="22" spans="1:8" x14ac:dyDescent="0.25">
      <c r="A22" s="84"/>
      <c r="B22" s="35" t="s">
        <v>69</v>
      </c>
      <c r="C22" s="38"/>
      <c r="D22" s="35"/>
      <c r="E22" s="35"/>
      <c r="F22" s="35"/>
      <c r="G22" s="35"/>
      <c r="H22" s="52"/>
    </row>
    <row r="23" spans="1:8" x14ac:dyDescent="0.25">
      <c r="A23" s="84" t="s">
        <v>80</v>
      </c>
      <c r="B23" s="23" t="s">
        <v>38</v>
      </c>
      <c r="C23" s="37"/>
      <c r="D23" s="23"/>
      <c r="E23" s="23"/>
      <c r="F23" s="23"/>
      <c r="G23" s="23"/>
      <c r="H23" s="51"/>
    </row>
    <row r="24" spans="1:8" x14ac:dyDescent="0.25">
      <c r="A24" s="84"/>
      <c r="B24" s="35" t="s">
        <v>69</v>
      </c>
      <c r="C24" s="38"/>
      <c r="D24" s="35"/>
      <c r="E24" s="35"/>
      <c r="F24" s="35"/>
      <c r="G24" s="35"/>
      <c r="H24" s="52"/>
    </row>
    <row r="25" spans="1:8" x14ac:dyDescent="0.25">
      <c r="A25" s="84" t="s">
        <v>81</v>
      </c>
      <c r="B25" s="23" t="s">
        <v>38</v>
      </c>
      <c r="C25" s="37"/>
      <c r="D25" s="23"/>
      <c r="E25" s="23"/>
      <c r="F25" s="23"/>
      <c r="G25" s="23"/>
      <c r="H25" s="51"/>
    </row>
    <row r="26" spans="1:8" x14ac:dyDescent="0.25">
      <c r="A26" s="84"/>
      <c r="B26" s="35" t="s">
        <v>69</v>
      </c>
      <c r="C26" s="38"/>
      <c r="D26" s="35"/>
      <c r="E26" s="35"/>
      <c r="F26" s="35"/>
      <c r="G26" s="35"/>
      <c r="H26" s="52"/>
    </row>
    <row r="27" spans="1:8" x14ac:dyDescent="0.25">
      <c r="A27" s="84" t="s">
        <v>82</v>
      </c>
      <c r="B27" s="23" t="s">
        <v>38</v>
      </c>
      <c r="C27" s="37"/>
      <c r="D27" s="23"/>
      <c r="E27" s="23"/>
      <c r="F27" s="23"/>
      <c r="G27" s="23"/>
      <c r="H27" s="51"/>
    </row>
    <row r="28" spans="1:8" x14ac:dyDescent="0.25">
      <c r="A28" s="84"/>
      <c r="B28" s="35" t="s">
        <v>69</v>
      </c>
      <c r="C28" s="38"/>
      <c r="D28" s="35"/>
      <c r="E28" s="35"/>
      <c r="F28" s="35"/>
      <c r="G28" s="35"/>
      <c r="H28" s="52"/>
    </row>
    <row r="29" spans="1:8" ht="15.75" x14ac:dyDescent="0.25">
      <c r="A29" s="85" t="s">
        <v>90</v>
      </c>
      <c r="B29" s="85"/>
      <c r="C29" s="58">
        <f>C5+C7+C9+C11+C13+C15+C17+C19+C21+C23+C25+C27</f>
        <v>2400.44</v>
      </c>
      <c r="D29" s="58">
        <f t="shared" ref="D29:F29" si="0">D5+D7+D9+D11+D13+D15+D17+D19+D21+D23+D25+D27</f>
        <v>117.58</v>
      </c>
      <c r="E29" s="58">
        <f>E5+E7+E9+E11+E13+E15+E17+E19+E21+E23+E25+E27</f>
        <v>4429.18</v>
      </c>
      <c r="F29" s="58">
        <f t="shared" si="0"/>
        <v>0.74</v>
      </c>
      <c r="G29" s="24" t="s">
        <v>85</v>
      </c>
      <c r="H29" s="60">
        <f>H5+H7+H9+H11+H13+H15+H17+H19+H21+H23+H25+H27</f>
        <v>6947.94</v>
      </c>
    </row>
    <row r="30" spans="1:8" ht="15.75" x14ac:dyDescent="0.25">
      <c r="A30" s="86" t="s">
        <v>91</v>
      </c>
      <c r="B30" s="86"/>
      <c r="C30" s="40">
        <f>C6+C8+C10+C12+C14+C16+C18+C20+C22+C24+C26+C28</f>
        <v>777142.47</v>
      </c>
      <c r="D30" s="40">
        <f t="shared" ref="D30:F30" si="1">D6+D8+D10+D12+D14+D16+D18+D20+D22+D24+D26+D28</f>
        <v>39997.19</v>
      </c>
      <c r="E30" s="40">
        <f>E6+E8+E10+E12+E14+E16+E18+E20+E22+E24+E26+E28</f>
        <v>1616525.62</v>
      </c>
      <c r="F30" s="40">
        <f t="shared" si="1"/>
        <v>1981.83</v>
      </c>
      <c r="G30" s="25" t="s">
        <v>86</v>
      </c>
      <c r="H30" s="39">
        <f>H6+H8+H10+H12+H14+H16+H18+H20+H22+H24+H26+H28</f>
        <v>2547259.8900000006</v>
      </c>
    </row>
    <row r="31" spans="1:8" x14ac:dyDescent="0.25">
      <c r="A31" s="41"/>
      <c r="B31" s="41"/>
      <c r="C31" s="42"/>
      <c r="D31" s="41"/>
      <c r="E31" s="41"/>
      <c r="F31" s="41"/>
      <c r="G31" s="41"/>
      <c r="H31" s="41"/>
    </row>
    <row r="32" spans="1:8" x14ac:dyDescent="0.25">
      <c r="D32" s="41"/>
      <c r="H32" s="20"/>
    </row>
  </sheetData>
  <mergeCells count="20">
    <mergeCell ref="A30:B30"/>
    <mergeCell ref="A27:A28"/>
    <mergeCell ref="B2:C2"/>
    <mergeCell ref="D2:E2"/>
    <mergeCell ref="I2:M2"/>
    <mergeCell ref="C3:G3"/>
    <mergeCell ref="A5:A6"/>
    <mergeCell ref="A15:A16"/>
    <mergeCell ref="A17:A18"/>
    <mergeCell ref="A19:A20"/>
    <mergeCell ref="A7:A8"/>
    <mergeCell ref="J3:N3"/>
    <mergeCell ref="A9:A10"/>
    <mergeCell ref="A11:A12"/>
    <mergeCell ref="A13:A14"/>
    <mergeCell ref="A1:H1"/>
    <mergeCell ref="A21:A22"/>
    <mergeCell ref="A23:A24"/>
    <mergeCell ref="A25:A26"/>
    <mergeCell ref="A29:B29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6B133-DC5F-4B9D-BCC1-E8337E96C135}">
  <sheetPr>
    <pageSetUpPr fitToPage="1"/>
  </sheetPr>
  <dimension ref="A1:O7"/>
  <sheetViews>
    <sheetView workbookViewId="0">
      <selection activeCell="F17" sqref="F17"/>
    </sheetView>
  </sheetViews>
  <sheetFormatPr defaultRowHeight="15" x14ac:dyDescent="0.25"/>
  <cols>
    <col min="1" max="1" width="18.42578125" customWidth="1"/>
    <col min="2" max="2" width="6.140625" customWidth="1"/>
    <col min="3" max="3" width="13.7109375" customWidth="1"/>
    <col min="4" max="4" width="13.42578125" bestFit="1" customWidth="1"/>
    <col min="5" max="5" width="14" customWidth="1"/>
    <col min="6" max="6" width="14.140625" customWidth="1"/>
    <col min="7" max="7" width="14" customWidth="1"/>
    <col min="8" max="8" width="14.42578125" customWidth="1"/>
    <col min="9" max="9" width="4.140625" hidden="1" customWidth="1"/>
    <col min="10" max="10" width="5" hidden="1" customWidth="1"/>
    <col min="11" max="11" width="3.28515625" hidden="1" customWidth="1"/>
    <col min="12" max="12" width="2.42578125" hidden="1" customWidth="1"/>
    <col min="13" max="13" width="3.28515625" hidden="1" customWidth="1"/>
    <col min="14" max="14" width="2.140625" hidden="1" customWidth="1"/>
    <col min="15" max="15" width="18.42578125" customWidth="1"/>
    <col min="16" max="16" width="18.140625" customWidth="1"/>
  </cols>
  <sheetData>
    <row r="1" spans="1:15" ht="31.15" customHeight="1" x14ac:dyDescent="0.3">
      <c r="A1" s="97" t="s">
        <v>83</v>
      </c>
      <c r="B1" s="80"/>
      <c r="C1" s="80"/>
      <c r="D1" s="80"/>
      <c r="E1" s="80"/>
    </row>
    <row r="2" spans="1:15" ht="18.75" x14ac:dyDescent="0.25">
      <c r="A2" s="1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7"/>
    </row>
    <row r="4" spans="1:15" ht="42.75" x14ac:dyDescent="0.25">
      <c r="C4" s="14" t="s">
        <v>39</v>
      </c>
      <c r="D4" s="14" t="s">
        <v>40</v>
      </c>
      <c r="E4" s="14" t="s">
        <v>41</v>
      </c>
      <c r="F4" s="14" t="s">
        <v>42</v>
      </c>
      <c r="G4" s="14" t="s">
        <v>43</v>
      </c>
      <c r="H4" s="14" t="s">
        <v>44</v>
      </c>
      <c r="I4" s="14" t="s">
        <v>45</v>
      </c>
      <c r="J4" s="14" t="s">
        <v>46</v>
      </c>
      <c r="K4" s="14" t="s">
        <v>47</v>
      </c>
      <c r="L4" s="14" t="s">
        <v>48</v>
      </c>
      <c r="M4" s="14" t="s">
        <v>49</v>
      </c>
      <c r="N4" s="14" t="s">
        <v>50</v>
      </c>
      <c r="O4" s="3" t="s">
        <v>84</v>
      </c>
    </row>
    <row r="5" spans="1:15" ht="67.5" customHeight="1" x14ac:dyDescent="0.25">
      <c r="A5" s="98" t="s">
        <v>128</v>
      </c>
      <c r="B5" s="98"/>
      <c r="C5" s="68">
        <v>0</v>
      </c>
      <c r="D5" s="68">
        <f>90053.9+56972.38+265625.01</f>
        <v>412651.29000000004</v>
      </c>
      <c r="E5" s="68">
        <v>0</v>
      </c>
      <c r="F5" s="68">
        <v>0</v>
      </c>
      <c r="G5" s="68">
        <v>0</v>
      </c>
      <c r="H5" s="68">
        <v>0</v>
      </c>
      <c r="I5" s="68"/>
      <c r="J5" s="68"/>
      <c r="K5" s="68"/>
      <c r="L5" s="68"/>
      <c r="M5" s="68"/>
      <c r="N5" s="68"/>
      <c r="O5" s="66">
        <f>SUM(C5:N5)</f>
        <v>412651.29000000004</v>
      </c>
    </row>
    <row r="6" spans="1:15" ht="61.9" customHeight="1" x14ac:dyDescent="0.25">
      <c r="A6" s="98" t="s">
        <v>129</v>
      </c>
      <c r="B6" s="98"/>
      <c r="C6" s="69">
        <f>13982.54+110564.78+3243.28+40558.71+313849.15</f>
        <v>482198.46</v>
      </c>
      <c r="D6" s="69">
        <v>0</v>
      </c>
      <c r="E6" s="69">
        <f>111671.62+353875.87</f>
        <v>465547.49</v>
      </c>
      <c r="F6" s="69">
        <v>576734.81999999995</v>
      </c>
      <c r="G6" s="69">
        <v>752647.65</v>
      </c>
      <c r="H6" s="69">
        <v>537374.36</v>
      </c>
      <c r="I6" s="69"/>
      <c r="J6" s="69"/>
      <c r="K6" s="69"/>
      <c r="L6" s="69"/>
      <c r="M6" s="69"/>
      <c r="N6" s="69"/>
      <c r="O6" s="70">
        <f>SUM(C6:N6)</f>
        <v>2814502.78</v>
      </c>
    </row>
    <row r="7" spans="1:15" x14ac:dyDescent="0.25">
      <c r="H7" s="67"/>
    </row>
  </sheetData>
  <mergeCells count="3">
    <mergeCell ref="A1:E1"/>
    <mergeCell ref="A6:B6"/>
    <mergeCell ref="A5:B5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E6FF9-6225-4691-AC85-A11789B631AD}">
  <dimension ref="A1:M22"/>
  <sheetViews>
    <sheetView tabSelected="1" workbookViewId="0">
      <selection activeCell="H29" sqref="H29"/>
    </sheetView>
  </sheetViews>
  <sheetFormatPr defaultRowHeight="15" x14ac:dyDescent="0.25"/>
  <cols>
    <col min="1" max="1" width="5" customWidth="1"/>
    <col min="2" max="2" width="29.7109375" bestFit="1" customWidth="1"/>
    <col min="3" max="3" width="15.7109375" customWidth="1"/>
    <col min="4" max="6" width="10.140625" hidden="1" customWidth="1"/>
    <col min="7" max="7" width="14.42578125" customWidth="1"/>
    <col min="13" max="13" width="11.42578125" bestFit="1" customWidth="1"/>
  </cols>
  <sheetData>
    <row r="1" spans="1:13" x14ac:dyDescent="0.25">
      <c r="A1" s="87" t="s">
        <v>111</v>
      </c>
      <c r="B1" s="87"/>
    </row>
    <row r="2" spans="1:13" x14ac:dyDescent="0.25">
      <c r="A2" s="87"/>
      <c r="B2" s="87"/>
    </row>
    <row r="3" spans="1:13" x14ac:dyDescent="0.25">
      <c r="C3" s="22">
        <v>45107</v>
      </c>
      <c r="D3" s="22"/>
      <c r="E3" s="22"/>
      <c r="F3" s="22"/>
    </row>
    <row r="4" spans="1:13" ht="15" customHeight="1" x14ac:dyDescent="0.25">
      <c r="A4" s="99" t="s">
        <v>109</v>
      </c>
      <c r="B4" s="1" t="s">
        <v>92</v>
      </c>
      <c r="C4" s="43">
        <v>11641</v>
      </c>
      <c r="D4" s="29"/>
      <c r="E4" s="29"/>
      <c r="F4" s="29"/>
      <c r="G4" s="16"/>
      <c r="H4" s="16"/>
      <c r="I4" s="16"/>
      <c r="J4" s="16"/>
      <c r="K4" s="16"/>
      <c r="L4" s="16"/>
      <c r="M4" s="16"/>
    </row>
    <row r="5" spans="1:13" x14ac:dyDescent="0.25">
      <c r="A5" s="99"/>
      <c r="B5" s="2" t="s">
        <v>93</v>
      </c>
      <c r="C5" s="44">
        <v>32861</v>
      </c>
      <c r="D5" s="30"/>
      <c r="E5" s="30"/>
      <c r="F5" s="30"/>
      <c r="G5" s="18"/>
      <c r="H5" s="18"/>
      <c r="I5" s="18"/>
      <c r="J5" s="18"/>
      <c r="K5" s="18"/>
      <c r="L5" s="18"/>
      <c r="M5" s="19"/>
    </row>
    <row r="6" spans="1:13" ht="15" customHeight="1" x14ac:dyDescent="0.25">
      <c r="A6" s="99"/>
      <c r="B6" s="1" t="s">
        <v>101</v>
      </c>
      <c r="C6" s="31">
        <v>11726334</v>
      </c>
      <c r="D6" s="31"/>
      <c r="E6" s="31"/>
      <c r="F6" s="31"/>
    </row>
    <row r="7" spans="1:13" x14ac:dyDescent="0.25">
      <c r="A7" s="99"/>
      <c r="B7" s="2" t="s">
        <v>102</v>
      </c>
      <c r="C7" s="32">
        <v>1416999</v>
      </c>
      <c r="D7" s="32"/>
      <c r="E7" s="32"/>
      <c r="F7" s="32"/>
      <c r="G7" s="41"/>
    </row>
    <row r="8" spans="1:13" x14ac:dyDescent="0.25">
      <c r="A8" s="99"/>
      <c r="B8" s="1" t="s">
        <v>103</v>
      </c>
      <c r="C8" s="31">
        <f>SUM(C6:C7)</f>
        <v>13143333</v>
      </c>
      <c r="D8" s="31"/>
      <c r="E8" s="31"/>
      <c r="F8" s="31"/>
    </row>
    <row r="9" spans="1:13" x14ac:dyDescent="0.25">
      <c r="A9" s="99"/>
      <c r="B9" s="2" t="s">
        <v>104</v>
      </c>
      <c r="C9" s="32">
        <v>5844558</v>
      </c>
      <c r="D9" s="32"/>
      <c r="E9" s="32"/>
      <c r="F9" s="32"/>
    </row>
    <row r="10" spans="1:13" x14ac:dyDescent="0.25">
      <c r="A10" s="99"/>
      <c r="B10" s="1" t="s">
        <v>105</v>
      </c>
      <c r="C10" s="31">
        <v>706467</v>
      </c>
      <c r="D10" s="31"/>
      <c r="E10" s="31"/>
      <c r="F10" s="31"/>
    </row>
    <row r="11" spans="1:13" x14ac:dyDescent="0.25">
      <c r="A11" s="99"/>
      <c r="B11" s="6" t="s">
        <v>106</v>
      </c>
      <c r="C11" s="26">
        <f>SUM(C9:C10)</f>
        <v>6551025</v>
      </c>
      <c r="D11" s="26"/>
      <c r="E11" s="26"/>
      <c r="F11" s="26"/>
    </row>
    <row r="12" spans="1:13" ht="15" customHeight="1" x14ac:dyDescent="0.25">
      <c r="A12" s="99" t="s">
        <v>108</v>
      </c>
      <c r="B12" s="1" t="s">
        <v>94</v>
      </c>
      <c r="C12" s="31">
        <v>12155952.710000001</v>
      </c>
      <c r="D12" s="31"/>
      <c r="E12" s="31"/>
      <c r="F12" s="31"/>
    </row>
    <row r="13" spans="1:13" x14ac:dyDescent="0.25">
      <c r="A13" s="99"/>
      <c r="B13" s="2" t="s">
        <v>95</v>
      </c>
      <c r="C13" s="32">
        <v>1401402</v>
      </c>
      <c r="D13" s="32"/>
      <c r="E13" s="32"/>
      <c r="F13" s="32"/>
    </row>
    <row r="14" spans="1:13" x14ac:dyDescent="0.25">
      <c r="A14" s="99"/>
      <c r="B14" s="1" t="s">
        <v>98</v>
      </c>
      <c r="C14" s="31">
        <f>SUM(C12:C13)</f>
        <v>13557354.710000001</v>
      </c>
      <c r="D14" s="31"/>
      <c r="E14" s="31"/>
      <c r="F14" s="31"/>
    </row>
    <row r="15" spans="1:13" x14ac:dyDescent="0.25">
      <c r="A15" s="94"/>
      <c r="B15" s="2" t="s">
        <v>96</v>
      </c>
      <c r="C15" s="32">
        <v>5749540.1100000003</v>
      </c>
      <c r="D15" s="32"/>
      <c r="E15" s="32"/>
      <c r="F15" s="32"/>
    </row>
    <row r="16" spans="1:13" x14ac:dyDescent="0.25">
      <c r="A16" s="94"/>
      <c r="B16" s="1" t="s">
        <v>97</v>
      </c>
      <c r="C16" s="31">
        <v>699406</v>
      </c>
      <c r="D16" s="31"/>
      <c r="E16" s="31"/>
      <c r="F16" s="31"/>
    </row>
    <row r="17" spans="1:6" x14ac:dyDescent="0.25">
      <c r="A17" s="94"/>
      <c r="B17" s="6" t="s">
        <v>99</v>
      </c>
      <c r="C17" s="26">
        <f>SUM(C15:C16)</f>
        <v>6448946.1100000003</v>
      </c>
      <c r="D17" s="26"/>
      <c r="E17" s="26"/>
      <c r="F17" s="26"/>
    </row>
    <row r="18" spans="1:6" x14ac:dyDescent="0.25">
      <c r="A18" s="1" t="s">
        <v>110</v>
      </c>
      <c r="B18" s="1" t="s">
        <v>123</v>
      </c>
      <c r="C18" s="31">
        <v>5937633.7999999998</v>
      </c>
      <c r="D18" s="31"/>
      <c r="E18" s="31"/>
      <c r="F18" s="31"/>
    </row>
    <row r="19" spans="1:6" x14ac:dyDescent="0.25">
      <c r="B19" s="1" t="s">
        <v>100</v>
      </c>
      <c r="C19" s="33">
        <f>C11-C18</f>
        <v>613391.20000000019</v>
      </c>
      <c r="D19" s="31"/>
      <c r="E19" s="31"/>
      <c r="F19" s="31"/>
    </row>
    <row r="20" spans="1:6" x14ac:dyDescent="0.25">
      <c r="B20" s="1" t="s">
        <v>107</v>
      </c>
      <c r="C20" s="33">
        <f>C17-C18</f>
        <v>511312.31000000052</v>
      </c>
      <c r="D20" s="31"/>
      <c r="E20" s="31"/>
      <c r="F20" s="31"/>
    </row>
    <row r="22" spans="1:6" x14ac:dyDescent="0.25">
      <c r="B22" t="s">
        <v>124</v>
      </c>
    </row>
  </sheetData>
  <mergeCells count="3">
    <mergeCell ref="A12:A17"/>
    <mergeCell ref="A4:A11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Masa 2023</vt:lpstr>
      <vt:lpstr>KOSZTY PUK</vt:lpstr>
      <vt:lpstr>KOSZTY Zagospodarowania</vt:lpstr>
      <vt:lpstr>Deklaracje-budżet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rlucka</dc:creator>
  <cp:lastModifiedBy>rlucka</cp:lastModifiedBy>
  <cp:lastPrinted>2022-07-28T10:07:56Z</cp:lastPrinted>
  <dcterms:created xsi:type="dcterms:W3CDTF">2022-03-14T12:54:53Z</dcterms:created>
  <dcterms:modified xsi:type="dcterms:W3CDTF">2023-08-04T06:57:43Z</dcterms:modified>
</cp:coreProperties>
</file>