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ucka\Documents\ODPADY\KOMISJA ds. ODPADÓW\2023\Posiedzenie 8.08.2023\"/>
    </mc:Choice>
  </mc:AlternateContent>
  <xr:revisionPtr revIDLastSave="0" documentId="13_ncr:1_{AB762410-CACE-4371-A9A5-7D1F36F112D4}" xr6:coauthVersionLast="47" xr6:coauthVersionMax="47" xr10:uidLastSave="{00000000-0000-0000-0000-000000000000}"/>
  <bookViews>
    <workbookView xWindow="-120" yWindow="-120" windowWidth="29040" windowHeight="15840" activeTab="4" xr2:uid="{1C551038-9D40-4821-AD94-E3D968214321}"/>
  </bookViews>
  <sheets>
    <sheet name="Masa 2022_2023" sheetId="1" r:id="rId1"/>
    <sheet name="KOSZTY PUK" sheetId="2" r:id="rId2"/>
    <sheet name="KOSZTY ZGO" sheetId="3" state="hidden" r:id="rId3"/>
    <sheet name="Zagospodarowanie" sheetId="5" r:id="rId4"/>
    <sheet name="Deklaracje-budżet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D17" i="4"/>
  <c r="D14" i="4"/>
  <c r="D11" i="4"/>
  <c r="D19" i="4" s="1"/>
  <c r="D8" i="4"/>
  <c r="N18" i="2"/>
  <c r="N19" i="2"/>
  <c r="M19" i="2"/>
  <c r="M18" i="2"/>
  <c r="N17" i="2"/>
  <c r="N16" i="2"/>
  <c r="N15" i="2"/>
  <c r="N14" i="2"/>
  <c r="N13" i="2"/>
  <c r="N12" i="2"/>
  <c r="N11" i="2"/>
  <c r="N10" i="2"/>
  <c r="N9" i="2"/>
  <c r="N8" i="2"/>
  <c r="N7" i="2"/>
  <c r="N6" i="2"/>
  <c r="M17" i="2"/>
  <c r="M16" i="2"/>
  <c r="M15" i="2"/>
  <c r="M14" i="2"/>
  <c r="M13" i="2"/>
  <c r="M12" i="2"/>
  <c r="M11" i="2"/>
  <c r="M10" i="2"/>
  <c r="M9" i="2"/>
  <c r="M8" i="2"/>
  <c r="M7" i="2"/>
  <c r="M6" i="2"/>
  <c r="AA30" i="1"/>
  <c r="J5" i="5"/>
  <c r="J3" i="5"/>
  <c r="I3" i="5"/>
  <c r="F4" i="5"/>
  <c r="I4" i="5" s="1"/>
  <c r="I7" i="5"/>
  <c r="C6" i="5"/>
  <c r="C7" i="5"/>
  <c r="G4" i="5"/>
  <c r="H4" i="5"/>
  <c r="D5" i="5"/>
  <c r="I5" i="5"/>
  <c r="I6" i="5"/>
  <c r="E6" i="5"/>
  <c r="P7" i="3" l="1"/>
  <c r="C14" i="4"/>
  <c r="C17" i="4"/>
  <c r="C11" i="4"/>
  <c r="C8" i="4"/>
  <c r="F21" i="3"/>
  <c r="G21" i="3"/>
  <c r="H21" i="3"/>
  <c r="J7" i="1"/>
  <c r="J6" i="1"/>
  <c r="I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G30" i="1"/>
  <c r="H30" i="1"/>
  <c r="G9" i="2"/>
  <c r="C7" i="2"/>
  <c r="G7" i="2"/>
  <c r="E7" i="2"/>
  <c r="E9" i="2"/>
  <c r="C9" i="2"/>
  <c r="I7" i="2"/>
  <c r="AA8" i="1"/>
  <c r="AA13" i="1"/>
  <c r="AA15" i="1"/>
  <c r="AA23" i="1"/>
  <c r="AA25" i="1"/>
  <c r="F7" i="1"/>
  <c r="E7" i="1"/>
  <c r="F6" i="1"/>
  <c r="E6" i="1"/>
  <c r="D7" i="1"/>
  <c r="C7" i="1"/>
  <c r="D6" i="1"/>
  <c r="C6" i="1"/>
  <c r="AA9" i="1"/>
  <c r="O21" i="3"/>
  <c r="D8" i="3"/>
  <c r="E8" i="3"/>
  <c r="F8" i="3"/>
  <c r="G8" i="3"/>
  <c r="H8" i="3"/>
  <c r="I8" i="3"/>
  <c r="J8" i="3"/>
  <c r="K8" i="3"/>
  <c r="L8" i="3"/>
  <c r="M8" i="3"/>
  <c r="N8" i="3"/>
  <c r="C8" i="3"/>
  <c r="O5" i="3"/>
  <c r="P5" i="3" s="1"/>
  <c r="O6" i="3"/>
  <c r="P6" i="3" s="1"/>
  <c r="O7" i="3"/>
  <c r="O4" i="3"/>
  <c r="P4" i="3" s="1"/>
  <c r="K9" i="2"/>
  <c r="I9" i="2"/>
  <c r="K7" i="2"/>
  <c r="E11" i="1"/>
  <c r="AA11" i="1" s="1"/>
  <c r="E16" i="1"/>
  <c r="AA16" i="1" s="1"/>
  <c r="E20" i="1"/>
  <c r="E22" i="1"/>
  <c r="E18" i="1"/>
  <c r="E24" i="1"/>
  <c r="E19" i="1"/>
  <c r="E10" i="1"/>
  <c r="E14" i="1"/>
  <c r="E29" i="1"/>
  <c r="E27" i="1"/>
  <c r="E21" i="1"/>
  <c r="E17" i="1"/>
  <c r="E28" i="1"/>
  <c r="C20" i="1"/>
  <c r="C22" i="1"/>
  <c r="C18" i="1"/>
  <c r="C24" i="1"/>
  <c r="C19" i="1"/>
  <c r="C10" i="1"/>
  <c r="C14" i="1"/>
  <c r="C29" i="1"/>
  <c r="C27" i="1"/>
  <c r="C21" i="1"/>
  <c r="C17" i="1"/>
  <c r="C28" i="1"/>
  <c r="AA24" i="1" l="1"/>
  <c r="AA28" i="1"/>
  <c r="AA7" i="1"/>
  <c r="AA6" i="1"/>
  <c r="J30" i="1"/>
  <c r="AA14" i="1"/>
  <c r="AA17" i="1"/>
  <c r="AA19" i="1"/>
  <c r="AA10" i="1"/>
  <c r="AA18" i="1"/>
  <c r="AA22" i="1"/>
  <c r="AA27" i="1"/>
  <c r="AA20" i="1"/>
  <c r="AA21" i="1"/>
  <c r="AA29" i="1"/>
  <c r="O8" i="3"/>
  <c r="P8" i="3"/>
  <c r="P21" i="3" s="1"/>
  <c r="F30" i="1"/>
  <c r="D30" i="1"/>
  <c r="E30" i="1"/>
  <c r="C30" i="1"/>
  <c r="C18" i="4" l="1"/>
  <c r="C20" i="4" s="1"/>
  <c r="C19" i="4" l="1"/>
</calcChain>
</file>

<file path=xl/sharedStrings.xml><?xml version="1.0" encoding="utf-8"?>
<sst xmlns="http://schemas.openxmlformats.org/spreadsheetml/2006/main" count="251" uniqueCount="146">
  <si>
    <t>Rodzaj odpadów</t>
  </si>
  <si>
    <t>Kod odpadu</t>
  </si>
  <si>
    <t>Opakowania z papieru i tektury</t>
  </si>
  <si>
    <t>15 01 01</t>
  </si>
  <si>
    <t>Opakowania z tworzyw sztucznych</t>
  </si>
  <si>
    <t>15 01 02</t>
  </si>
  <si>
    <t>Zmieszane odpady opakowaniowe</t>
  </si>
  <si>
    <t>15 01 06</t>
  </si>
  <si>
    <t>Opakowania ze szkła kolorowe</t>
  </si>
  <si>
    <t>15 01 07</t>
  </si>
  <si>
    <t>Opakowania zawierające pozostałości substancji niebezpiecznych lub nimi zanieczyszczone</t>
  </si>
  <si>
    <t>15 01 10*</t>
  </si>
  <si>
    <t>Zużyte opony</t>
  </si>
  <si>
    <t>16 01 03</t>
  </si>
  <si>
    <t>Materiały izolacyjne inne niż wymienione w 17 06 01 i 17 06 03</t>
  </si>
  <si>
    <t>17 06 04</t>
  </si>
  <si>
    <t>Zmieszane odpady z budowy, remontów i demontażu inne niż wymienione w 17 09 01, 17 09 02 i 17 09 03</t>
  </si>
  <si>
    <t>17 09 04</t>
  </si>
  <si>
    <t>Papier i tektura</t>
  </si>
  <si>
    <t>20 01 01</t>
  </si>
  <si>
    <t>Szkło</t>
  </si>
  <si>
    <t>20 01 02</t>
  </si>
  <si>
    <t>Lampy fluoroscencyjne i inne odpady zawierające rtęć</t>
  </si>
  <si>
    <t>20 01 21*</t>
  </si>
  <si>
    <t>Leki inne niż wymienione w 20 01 31</t>
  </si>
  <si>
    <t>20 01 32</t>
  </si>
  <si>
    <t>Zużyte urządzenia elektryczne i elektroniczne inne niż wymienione w 20 01 21 i 20 01 23 zawierające niebezpieczne składniki</t>
  </si>
  <si>
    <t>20 01 35*</t>
  </si>
  <si>
    <t>Zużyte urządzenia elektryczne i elektroniczne inne niż wymienione w 20 01 21, 20 01 23 i 20 01 35</t>
  </si>
  <si>
    <t>20 01 36</t>
  </si>
  <si>
    <t>Tworzywa sztuczne</t>
  </si>
  <si>
    <t>20 01 39</t>
  </si>
  <si>
    <t>Odpady ulegające biodegradacji</t>
  </si>
  <si>
    <t>20 02 01</t>
  </si>
  <si>
    <t>Niesegregowane (zmieszane) odpady komunalne</t>
  </si>
  <si>
    <t>20 03 01</t>
  </si>
  <si>
    <t>Odpady wielkogabarytowe</t>
  </si>
  <si>
    <t>20 03 07</t>
  </si>
  <si>
    <t>Masa w Mg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</si>
  <si>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</si>
  <si>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</si>
  <si>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</si>
  <si>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</si>
  <si>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</si>
  <si>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</si>
  <si>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</si>
  <si>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</si>
  <si>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</si>
  <si>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</si>
  <si>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</si>
  <si>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</si>
  <si>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Masa odpadów narastająco w Mg</t>
  </si>
  <si>
    <t>20 01 08</t>
  </si>
  <si>
    <t>odpady kuchenne ulegające biodegradacji</t>
  </si>
  <si>
    <t>tekstylia</t>
  </si>
  <si>
    <t>20 01 11</t>
  </si>
  <si>
    <t>baterie i akumulatory inne niż wymienione w 20 01 34</t>
  </si>
  <si>
    <t>20 01 34</t>
  </si>
  <si>
    <t>20 01 23*</t>
  </si>
  <si>
    <t>urządzenia zawierające freony</t>
  </si>
  <si>
    <t>odbiór i transport odpadów zmieszanych z nieruchomości zamieszkałych</t>
  </si>
  <si>
    <t>odbiór i transport odpadów segregowanych z nieruchomości zamieszkałych oraz z PSZOK do Mateuszewa</t>
  </si>
  <si>
    <t>odbiór i transport odpadów segregowanych z nieruchomości zamieszkałych oraz z PSZOK do Witaszyczek</t>
  </si>
  <si>
    <t>odbiór i transport leków</t>
  </si>
  <si>
    <t>prowadzenie PSZOK</t>
  </si>
  <si>
    <t>stawki w zł brutto za Mg</t>
  </si>
  <si>
    <t>ryczałt</t>
  </si>
  <si>
    <t>styczeń</t>
  </si>
  <si>
    <t>rodzaj usługi</t>
  </si>
  <si>
    <t>luty</t>
  </si>
  <si>
    <t>ryczałt za prowadzenie PSZOK</t>
  </si>
  <si>
    <t>KOSZTY ODBIORU I TRANSPORTU ODPADÓW ORAZ PROWADZENIA PSZOK W ROKU 2022</t>
  </si>
  <si>
    <t>koszt brutto zł</t>
  </si>
  <si>
    <t>okres</t>
  </si>
  <si>
    <t>rodzaj danych</t>
  </si>
  <si>
    <t>suma</t>
  </si>
  <si>
    <t>marzec</t>
  </si>
  <si>
    <t>kwiecień</t>
  </si>
  <si>
    <t>maj</t>
  </si>
  <si>
    <t>czerwiec</t>
  </si>
  <si>
    <t>Opakowania z papieru i tektury (czyste)</t>
  </si>
  <si>
    <t>Opakowania z papieru i tektury (brudne)</t>
  </si>
  <si>
    <t>Opakowania z tworzyw sztucznych (czyste)</t>
  </si>
  <si>
    <t>Opakowania z tworzyw sztucznych (brudne)</t>
  </si>
  <si>
    <t>kod</t>
  </si>
  <si>
    <t>rodzaj odpadu</t>
  </si>
  <si>
    <t>od 1.01.22</t>
  </si>
  <si>
    <t>Ceny netto zł</t>
  </si>
  <si>
    <t>stawka VAT 8%</t>
  </si>
  <si>
    <t>Suma</t>
  </si>
  <si>
    <t>Koszt brutto narastająco w zł</t>
  </si>
  <si>
    <t>KOSZTY ZAGOSPODAROWANIA ODPADÓW W ROKU 2022</t>
  </si>
  <si>
    <t>OGÓŁEM M+W</t>
  </si>
  <si>
    <t>KOSZT NARASTAJĄCO</t>
  </si>
  <si>
    <t>SUMA MASA</t>
  </si>
  <si>
    <t>SUMA KOSZT</t>
  </si>
  <si>
    <t>W</t>
  </si>
  <si>
    <t>M</t>
  </si>
  <si>
    <t>W - Witaszyczki</t>
  </si>
  <si>
    <t>M - Mateuszewo</t>
  </si>
  <si>
    <t>SUMA MASY</t>
  </si>
  <si>
    <t>SUMA MASA w Mg</t>
  </si>
  <si>
    <t>SUMA KOSZT w zł</t>
  </si>
  <si>
    <t>CENY PRZYJĘCIA ODPADÓW</t>
  </si>
  <si>
    <t>W MATEUSZEWIE (M)</t>
  </si>
  <si>
    <t>KOSZT ZAGOSPODAROWANIA ODPADÓW W WITASZYCZKACH (W)</t>
  </si>
  <si>
    <t>liczba złożonych deklaracji</t>
  </si>
  <si>
    <t>liczba osób zadeklarowanych</t>
  </si>
  <si>
    <t>plan dochodów os. fiz.</t>
  </si>
  <si>
    <t>plan dochodów os. prawne</t>
  </si>
  <si>
    <t>wykonanie dochodów os. fiz.</t>
  </si>
  <si>
    <t>wykonanie dochodów os. pr.</t>
  </si>
  <si>
    <t>plan dochodów ogółem</t>
  </si>
  <si>
    <t>wykonanie dochodów ogółem</t>
  </si>
  <si>
    <t>koszty poniesione</t>
  </si>
  <si>
    <t>nadwyżka - deficyt do przypisu</t>
  </si>
  <si>
    <t>przypis roczny  osoby fizyczne</t>
  </si>
  <si>
    <t>przypis roczny osoby prawne</t>
  </si>
  <si>
    <t>przypis roczny ogółem</t>
  </si>
  <si>
    <t>przypis okresowy os. fiz.</t>
  </si>
  <si>
    <t>przypis okresowy os. prawne</t>
  </si>
  <si>
    <t>przypis okresowy ogółem</t>
  </si>
  <si>
    <t>nadwyżka-deficyt do dochodów</t>
  </si>
  <si>
    <t>MATEUSZEWO</t>
  </si>
  <si>
    <t>od 1.03.22</t>
  </si>
  <si>
    <t>Rb-27S</t>
  </si>
  <si>
    <t>GOK</t>
  </si>
  <si>
    <t>FKB</t>
  </si>
  <si>
    <t>900-90002</t>
  </si>
  <si>
    <t>STRUMIEŃ ODPADÓW KOMUNALNYCH Z NIERUCHOMOŚCI NIEZAMIESZKAŁYCH W ROKU 2022 i 2023</t>
  </si>
  <si>
    <t>17 01 01</t>
  </si>
  <si>
    <t>Odpady z betonu oraz gruz betonowy z rozbiórek i remontów</t>
  </si>
  <si>
    <t>ex20 01 99</t>
  </si>
  <si>
    <t>Popiół</t>
  </si>
  <si>
    <t>ROK</t>
  </si>
  <si>
    <t>Zakład Utylizacji odpadów Clean City</t>
  </si>
  <si>
    <t>WCR W Jarocinie</t>
  </si>
  <si>
    <t>Instalacja</t>
  </si>
  <si>
    <t>WCR W Jarocinie      Stacja Przeładunkowa w Mateuszewie</t>
  </si>
  <si>
    <t>WCR w Jarocinie              Stacja Przeładunkowa w Mateuszewie</t>
  </si>
  <si>
    <t>SUMA:</t>
  </si>
  <si>
    <t>2022 r.</t>
  </si>
  <si>
    <t>2023 r.</t>
  </si>
  <si>
    <t>I - VI 2022</t>
  </si>
  <si>
    <t>I - VI 2023</t>
  </si>
  <si>
    <t>Masa odpadów w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</si>
</sst>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"/>
    <numFmt numFmtId="167" formatCode="#,##0.00\ &quot;zł&quot;"/>
    <numFmt numFmtId="168" formatCode="#,##0.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2" fillId="3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 shrinkToFit="1"/>
    </xf>
    <xf numFmtId="9" fontId="0" fillId="0" borderId="1" xfId="0" applyNumberForma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6" fillId="0" borderId="1" xfId="1" applyFont="1" applyBorder="1"/>
    <xf numFmtId="43" fontId="6" fillId="2" borderId="1" xfId="1" applyFont="1" applyFill="1" applyBorder="1"/>
    <xf numFmtId="43" fontId="0" fillId="0" borderId="0" xfId="1" applyFont="1" applyFill="1" applyBorder="1"/>
    <xf numFmtId="43" fontId="2" fillId="0" borderId="0" xfId="0" applyNumberFormat="1" applyFont="1"/>
    <xf numFmtId="164" fontId="0" fillId="0" borderId="0" xfId="0" applyNumberFormat="1"/>
    <xf numFmtId="0" fontId="2" fillId="0" borderId="0" xfId="0" applyFont="1"/>
    <xf numFmtId="0" fontId="6" fillId="0" borderId="0" xfId="0" applyFont="1"/>
    <xf numFmtId="43" fontId="0" fillId="0" borderId="1" xfId="1" applyFont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4" fontId="0" fillId="0" borderId="1" xfId="0" applyNumberFormat="1" applyBorder="1"/>
    <xf numFmtId="4" fontId="0" fillId="2" borderId="1" xfId="0" applyNumberFormat="1" applyFill="1" applyBorder="1"/>
    <xf numFmtId="43" fontId="6" fillId="4" borderId="1" xfId="1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6" fontId="3" fillId="0" borderId="1" xfId="1" applyNumberFormat="1" applyFont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7" fontId="9" fillId="0" borderId="1" xfId="1" applyNumberFormat="1" applyFont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167" fontId="9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0" borderId="0" xfId="0" applyFont="1"/>
    <xf numFmtId="14" fontId="8" fillId="0" borderId="1" xfId="0" applyNumberFormat="1" applyFont="1" applyBorder="1"/>
    <xf numFmtId="3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/>
    <xf numFmtId="3" fontId="9" fillId="2" borderId="1" xfId="1" applyNumberFormat="1" applyFont="1" applyFill="1" applyBorder="1" applyAlignment="1">
      <alignment horizontal="right"/>
    </xf>
    <xf numFmtId="165" fontId="9" fillId="0" borderId="1" xfId="0" applyNumberFormat="1" applyFont="1" applyBorder="1"/>
    <xf numFmtId="165" fontId="9" fillId="2" borderId="1" xfId="0" applyNumberFormat="1" applyFont="1" applyFill="1" applyBorder="1"/>
    <xf numFmtId="0" fontId="9" fillId="3" borderId="1" xfId="0" applyFont="1" applyFill="1" applyBorder="1"/>
    <xf numFmtId="165" fontId="9" fillId="3" borderId="1" xfId="0" applyNumberFormat="1" applyFont="1" applyFill="1" applyBorder="1"/>
    <xf numFmtId="165" fontId="9" fillId="4" borderId="1" xfId="0" applyNumberFormat="1" applyFont="1" applyFill="1" applyBorder="1"/>
    <xf numFmtId="0" fontId="8" fillId="0" borderId="1" xfId="0" applyFont="1" applyBorder="1"/>
    <xf numFmtId="165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/>
    <xf numFmtId="167" fontId="0" fillId="0" borderId="1" xfId="1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6" fillId="0" borderId="0" xfId="0" applyNumberFormat="1" applyFont="1"/>
    <xf numFmtId="4" fontId="0" fillId="0" borderId="1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7" fontId="2" fillId="3" borderId="0" xfId="0" applyNumberFormat="1" applyFont="1" applyFill="1" applyAlignment="1">
      <alignment horizontal="right" vertical="center"/>
    </xf>
    <xf numFmtId="167" fontId="0" fillId="0" borderId="0" xfId="0" applyNumberFormat="1"/>
    <xf numFmtId="167" fontId="2" fillId="3" borderId="1" xfId="0" applyNumberFormat="1" applyFont="1" applyFill="1" applyBorder="1" applyAlignment="1">
      <alignment wrapText="1"/>
    </xf>
    <xf numFmtId="167" fontId="2" fillId="3" borderId="0" xfId="0" applyNumberFormat="1" applyFont="1" applyFill="1"/>
    <xf numFmtId="167" fontId="6" fillId="0" borderId="0" xfId="0" applyNumberFormat="1" applyFont="1"/>
    <xf numFmtId="167" fontId="2" fillId="3" borderId="1" xfId="0" applyNumberFormat="1" applyFont="1" applyFill="1" applyBorder="1" applyAlignment="1">
      <alignment horizontal="center" wrapText="1"/>
    </xf>
    <xf numFmtId="167" fontId="6" fillId="3" borderId="1" xfId="0" applyNumberFormat="1" applyFont="1" applyFill="1" applyBorder="1" applyAlignment="1">
      <alignment wrapText="1"/>
    </xf>
    <xf numFmtId="167" fontId="6" fillId="3" borderId="1" xfId="0" applyNumberFormat="1" applyFont="1" applyFill="1" applyBorder="1"/>
    <xf numFmtId="167" fontId="0" fillId="3" borderId="1" xfId="0" applyNumberForma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0" fillId="3" borderId="3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0" borderId="4" xfId="0" applyBorder="1"/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3" xfId="0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0" fillId="5" borderId="5" xfId="0" applyFill="1" applyBorder="1"/>
    <xf numFmtId="167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/>
    <xf numFmtId="0" fontId="8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3B5A-A061-47F4-AFB1-D764124B9E53}">
  <sheetPr>
    <pageSetUpPr fitToPage="1"/>
  </sheetPr>
  <dimension ref="A1:AB34"/>
  <sheetViews>
    <sheetView topLeftCell="A22" workbookViewId="0">
      <selection activeCell="AA5" sqref="AA5"/>
    </sheetView>
  </sheetViews>
  <sheetFormatPr defaultRowHeight="15" x14ac:dyDescent="0.25"/>
  <cols>
    <col min="1" max="1" width="27.28515625" customWidth="1"/>
    <col min="2" max="2" width="11.7109375" customWidth="1"/>
    <col min="3" max="6" width="8" hidden="1" customWidth="1"/>
    <col min="7" max="7" width="9.28515625" hidden="1" customWidth="1"/>
    <col min="8" max="8" width="7.7109375" hidden="1" customWidth="1"/>
    <col min="9" max="9" width="10.140625" hidden="1" customWidth="1"/>
    <col min="10" max="10" width="9.28515625" hidden="1" customWidth="1"/>
    <col min="11" max="11" width="11.42578125" hidden="1" customWidth="1"/>
    <col min="12" max="12" width="8.85546875" hidden="1" customWidth="1"/>
    <col min="13" max="13" width="10.28515625" hidden="1" customWidth="1"/>
    <col min="14" max="14" width="9.28515625" hidden="1" customWidth="1"/>
    <col min="15" max="25" width="5.7109375" hidden="1" customWidth="1"/>
    <col min="26" max="26" width="0.7109375" hidden="1" customWidth="1"/>
    <col min="27" max="27" width="20" style="39" customWidth="1"/>
    <col min="28" max="28" width="17.5703125" customWidth="1"/>
  </cols>
  <sheetData>
    <row r="1" spans="1:28" s="106" customFormat="1" ht="15.75" x14ac:dyDescent="0.25">
      <c r="A1" s="105" t="s">
        <v>129</v>
      </c>
    </row>
    <row r="2" spans="1:28" x14ac:dyDescent="0.25">
      <c r="C2" s="28" t="s">
        <v>98</v>
      </c>
    </row>
    <row r="3" spans="1:28" x14ac:dyDescent="0.25">
      <c r="C3" s="28" t="s">
        <v>99</v>
      </c>
    </row>
    <row r="4" spans="1:28" ht="55.9" customHeight="1" x14ac:dyDescent="0.25">
      <c r="A4" s="2" t="s">
        <v>0</v>
      </c>
      <c r="B4" s="2" t="s">
        <v>1</v>
      </c>
      <c r="C4" s="103" t="s">
        <v>39</v>
      </c>
      <c r="D4" s="104"/>
      <c r="E4" s="103" t="s">
        <v>40</v>
      </c>
      <c r="F4" s="104"/>
      <c r="G4" s="103" t="s">
        <v>41</v>
      </c>
      <c r="H4" s="104"/>
      <c r="I4" s="103" t="s">
        <v>42</v>
      </c>
      <c r="J4" s="107"/>
      <c r="K4" s="103" t="s">
        <v>43</v>
      </c>
      <c r="L4" s="107"/>
      <c r="M4" s="103" t="s">
        <v>44</v>
      </c>
      <c r="N4" s="107"/>
      <c r="O4" s="103" t="s">
        <v>45</v>
      </c>
      <c r="P4" s="104"/>
      <c r="Q4" s="103" t="s">
        <v>46</v>
      </c>
      <c r="R4" s="104"/>
      <c r="S4" s="103" t="s">
        <v>47</v>
      </c>
      <c r="T4" s="104"/>
      <c r="U4" s="103" t="s">
        <v>48</v>
      </c>
      <c r="V4" s="104"/>
      <c r="W4" s="103" t="s">
        <v>49</v>
      </c>
      <c r="X4" s="104"/>
      <c r="Y4" s="103" t="s">
        <v>50</v>
      </c>
      <c r="Z4" s="104"/>
      <c r="AA4" s="108" t="s">
        <v>145</v>
      </c>
      <c r="AB4" s="109"/>
    </row>
    <row r="5" spans="1:28" ht="21" customHeight="1" x14ac:dyDescent="0.25">
      <c r="A5" s="2"/>
      <c r="B5" s="2"/>
      <c r="C5" s="4" t="s">
        <v>96</v>
      </c>
      <c r="D5" s="4" t="s">
        <v>97</v>
      </c>
      <c r="E5" s="4" t="s">
        <v>96</v>
      </c>
      <c r="F5" s="4" t="s">
        <v>97</v>
      </c>
      <c r="G5" s="4" t="s">
        <v>96</v>
      </c>
      <c r="H5" s="4" t="s">
        <v>97</v>
      </c>
      <c r="I5" s="4" t="s">
        <v>96</v>
      </c>
      <c r="J5" s="4" t="s">
        <v>97</v>
      </c>
      <c r="K5" s="4" t="s">
        <v>96</v>
      </c>
      <c r="L5" s="4" t="s">
        <v>97</v>
      </c>
      <c r="M5" s="4" t="s">
        <v>96</v>
      </c>
      <c r="N5" s="4" t="s">
        <v>97</v>
      </c>
      <c r="O5" s="4" t="s">
        <v>96</v>
      </c>
      <c r="P5" s="4" t="s">
        <v>97</v>
      </c>
      <c r="Q5" s="4" t="s">
        <v>96</v>
      </c>
      <c r="R5" s="4" t="s">
        <v>97</v>
      </c>
      <c r="S5" s="4" t="s">
        <v>96</v>
      </c>
      <c r="T5" s="4" t="s">
        <v>97</v>
      </c>
      <c r="U5" s="4" t="s">
        <v>96</v>
      </c>
      <c r="V5" s="4" t="s">
        <v>97</v>
      </c>
      <c r="W5" s="4" t="s">
        <v>96</v>
      </c>
      <c r="X5" s="4" t="s">
        <v>97</v>
      </c>
      <c r="Y5" s="4" t="s">
        <v>96</v>
      </c>
      <c r="Z5" s="4" t="s">
        <v>97</v>
      </c>
      <c r="AA5" s="2" t="s">
        <v>143</v>
      </c>
      <c r="AB5" s="2" t="s">
        <v>144</v>
      </c>
    </row>
    <row r="6" spans="1:28" ht="28.5" x14ac:dyDescent="0.25">
      <c r="A6" s="2" t="s">
        <v>2</v>
      </c>
      <c r="B6" s="2" t="s">
        <v>3</v>
      </c>
      <c r="C6" s="36">
        <f>40.16+4.36</f>
        <v>44.519999999999996</v>
      </c>
      <c r="D6" s="36">
        <f>6.1+1.88</f>
        <v>7.9799999999999995</v>
      </c>
      <c r="E6" s="36">
        <f>11.3+3.66</f>
        <v>14.96</v>
      </c>
      <c r="F6" s="36">
        <f>1.56+26.8</f>
        <v>28.36</v>
      </c>
      <c r="G6" s="36">
        <v>4.22</v>
      </c>
      <c r="H6" s="36">
        <v>45.38</v>
      </c>
      <c r="I6" s="36">
        <v>4.68</v>
      </c>
      <c r="J6" s="36">
        <f>41.82+0</f>
        <v>41.82</v>
      </c>
      <c r="K6" s="36">
        <v>3.22</v>
      </c>
      <c r="L6" s="36">
        <v>47.62</v>
      </c>
      <c r="M6" s="36">
        <v>3.5</v>
      </c>
      <c r="N6" s="36">
        <v>48.4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41">
        <f>C6+E6+G6+I6+K6+M6+O6+Q6+S6+U6+W6+Y6+219.56</f>
        <v>294.65999999999997</v>
      </c>
      <c r="AB6" s="45">
        <v>289</v>
      </c>
    </row>
    <row r="7" spans="1:28" ht="28.5" x14ac:dyDescent="0.25">
      <c r="A7" s="2" t="s">
        <v>4</v>
      </c>
      <c r="B7" s="2" t="s">
        <v>5</v>
      </c>
      <c r="C7" s="36">
        <f>57.48+0.5</f>
        <v>57.98</v>
      </c>
      <c r="D7" s="36">
        <f>9.88+0.26</f>
        <v>10.14</v>
      </c>
      <c r="E7" s="36">
        <f>36.48+0.88</f>
        <v>37.36</v>
      </c>
      <c r="F7" s="36">
        <f>1.16+23.98</f>
        <v>25.14</v>
      </c>
      <c r="G7" s="36">
        <v>0.3</v>
      </c>
      <c r="H7" s="36">
        <v>79.48</v>
      </c>
      <c r="I7" s="36">
        <v>0</v>
      </c>
      <c r="J7" s="36">
        <f>74.14+2.3</f>
        <v>76.44</v>
      </c>
      <c r="K7" s="36">
        <v>0</v>
      </c>
      <c r="L7" s="36">
        <v>84.02</v>
      </c>
      <c r="M7" s="36">
        <v>0</v>
      </c>
      <c r="N7" s="36">
        <v>82.94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42">
        <f>C7+E7+G7+I7+K7+M7+O7+Q7+S7+U7+W7+Y7+358.16</f>
        <v>453.8</v>
      </c>
      <c r="AB7" s="45">
        <v>458.4</v>
      </c>
    </row>
    <row r="8" spans="1:28" ht="28.5" x14ac:dyDescent="0.25">
      <c r="A8" s="2" t="s">
        <v>6</v>
      </c>
      <c r="B8" s="2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0.96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41">
        <f t="shared" ref="AA8:AA29" si="0">C8+E8+G8+I8+K8+M8+O8+Q8+S8+U8+W8+Y8</f>
        <v>0.96</v>
      </c>
      <c r="AB8" s="45">
        <v>0</v>
      </c>
    </row>
    <row r="9" spans="1:28" ht="28.5" x14ac:dyDescent="0.25">
      <c r="A9" s="2" t="s">
        <v>8</v>
      </c>
      <c r="B9" s="2" t="s">
        <v>9</v>
      </c>
      <c r="C9" s="36">
        <v>80.66</v>
      </c>
      <c r="D9" s="36">
        <v>0</v>
      </c>
      <c r="E9" s="36">
        <v>66.78</v>
      </c>
      <c r="F9" s="36">
        <v>0</v>
      </c>
      <c r="G9" s="36">
        <v>72.84</v>
      </c>
      <c r="H9" s="36">
        <v>0</v>
      </c>
      <c r="I9" s="36">
        <v>69.48</v>
      </c>
      <c r="J9" s="36">
        <v>0</v>
      </c>
      <c r="K9" s="36">
        <v>82.64</v>
      </c>
      <c r="L9" s="36">
        <v>0</v>
      </c>
      <c r="M9" s="36">
        <v>73.7</v>
      </c>
      <c r="N9" s="36">
        <v>0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42">
        <f t="shared" si="0"/>
        <v>446.09999999999997</v>
      </c>
      <c r="AB9" s="45">
        <v>410.6</v>
      </c>
    </row>
    <row r="10" spans="1:28" ht="57" x14ac:dyDescent="0.25">
      <c r="A10" s="2" t="s">
        <v>10</v>
      </c>
      <c r="B10" s="2" t="s">
        <v>11</v>
      </c>
      <c r="C10" s="36">
        <f>0.7</f>
        <v>0.7</v>
      </c>
      <c r="D10" s="36">
        <v>0</v>
      </c>
      <c r="E10" s="36">
        <f>0.46</f>
        <v>0.46</v>
      </c>
      <c r="F10" s="36">
        <v>0</v>
      </c>
      <c r="G10" s="36">
        <v>0.96</v>
      </c>
      <c r="H10" s="36">
        <v>0</v>
      </c>
      <c r="I10" s="36">
        <v>1.46</v>
      </c>
      <c r="J10" s="36">
        <v>0</v>
      </c>
      <c r="K10" s="36">
        <v>1.56</v>
      </c>
      <c r="L10" s="36">
        <v>0</v>
      </c>
      <c r="M10" s="36">
        <v>1.94</v>
      </c>
      <c r="N10" s="36">
        <v>0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1">
        <f t="shared" si="0"/>
        <v>7.08</v>
      </c>
      <c r="AB10" s="45">
        <v>10.199999999999999</v>
      </c>
    </row>
    <row r="11" spans="1:28" x14ac:dyDescent="0.25">
      <c r="A11" s="2" t="s">
        <v>12</v>
      </c>
      <c r="B11" s="2" t="s">
        <v>13</v>
      </c>
      <c r="C11" s="36">
        <v>0</v>
      </c>
      <c r="D11" s="36">
        <v>0</v>
      </c>
      <c r="E11" s="36">
        <f>0.8+2.4</f>
        <v>3.2</v>
      </c>
      <c r="F11" s="36">
        <v>0</v>
      </c>
      <c r="G11" s="36">
        <v>7.76</v>
      </c>
      <c r="H11" s="36">
        <v>0</v>
      </c>
      <c r="I11" s="36">
        <v>4.04</v>
      </c>
      <c r="J11" s="36">
        <v>0</v>
      </c>
      <c r="K11" s="36">
        <v>16.28</v>
      </c>
      <c r="L11" s="36">
        <v>0</v>
      </c>
      <c r="M11" s="36">
        <v>7.08</v>
      </c>
      <c r="N11" s="36">
        <v>0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42">
        <f t="shared" si="0"/>
        <v>38.36</v>
      </c>
      <c r="AB11" s="45">
        <v>48.8</v>
      </c>
    </row>
    <row r="12" spans="1:28" ht="42.75" x14ac:dyDescent="0.25">
      <c r="A12" s="2" t="s">
        <v>131</v>
      </c>
      <c r="B12" s="2" t="s">
        <v>130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42">
        <v>0</v>
      </c>
      <c r="AB12" s="45">
        <v>139.4</v>
      </c>
    </row>
    <row r="13" spans="1:28" ht="42.75" x14ac:dyDescent="0.25">
      <c r="A13" s="2" t="s">
        <v>14</v>
      </c>
      <c r="B13" s="2" t="s">
        <v>15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0.64</v>
      </c>
      <c r="N13" s="36">
        <v>0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42">
        <f t="shared" si="0"/>
        <v>0.64</v>
      </c>
      <c r="AB13" s="45">
        <v>6.1</v>
      </c>
    </row>
    <row r="14" spans="1:28" ht="71.25" x14ac:dyDescent="0.25">
      <c r="A14" s="3" t="s">
        <v>16</v>
      </c>
      <c r="B14" s="2" t="s">
        <v>17</v>
      </c>
      <c r="C14" s="36">
        <f>13.04</f>
        <v>13.04</v>
      </c>
      <c r="D14" s="36">
        <v>0</v>
      </c>
      <c r="E14" s="36">
        <f>29.2</f>
        <v>29.2</v>
      </c>
      <c r="F14" s="36">
        <v>0</v>
      </c>
      <c r="G14" s="36">
        <v>45.04</v>
      </c>
      <c r="H14" s="36">
        <v>0</v>
      </c>
      <c r="I14" s="36">
        <v>23.18</v>
      </c>
      <c r="J14" s="36">
        <v>0</v>
      </c>
      <c r="K14" s="36">
        <v>48.42</v>
      </c>
      <c r="L14" s="36">
        <v>0</v>
      </c>
      <c r="M14" s="36">
        <v>45.82</v>
      </c>
      <c r="N14" s="36">
        <v>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1">
        <f t="shared" si="0"/>
        <v>204.7</v>
      </c>
      <c r="AB14" s="45">
        <v>213.7</v>
      </c>
    </row>
    <row r="15" spans="1:28" x14ac:dyDescent="0.25">
      <c r="A15" s="2" t="s">
        <v>18</v>
      </c>
      <c r="B15" s="2" t="s">
        <v>19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42">
        <f t="shared" si="0"/>
        <v>0</v>
      </c>
      <c r="AB15" s="45">
        <v>0</v>
      </c>
    </row>
    <row r="16" spans="1:28" x14ac:dyDescent="0.25">
      <c r="A16" s="2" t="s">
        <v>20</v>
      </c>
      <c r="B16" s="2" t="s">
        <v>21</v>
      </c>
      <c r="C16" s="36">
        <v>0</v>
      </c>
      <c r="D16" s="36">
        <v>0</v>
      </c>
      <c r="E16" s="36">
        <f>1.62</f>
        <v>1.62</v>
      </c>
      <c r="F16" s="36">
        <v>0</v>
      </c>
      <c r="G16" s="36">
        <v>2.14</v>
      </c>
      <c r="H16" s="36">
        <v>0</v>
      </c>
      <c r="I16" s="36">
        <v>4.9400000000000004</v>
      </c>
      <c r="J16" s="36">
        <v>0</v>
      </c>
      <c r="K16" s="36">
        <v>2.68</v>
      </c>
      <c r="L16" s="36">
        <v>0</v>
      </c>
      <c r="M16" s="36">
        <v>1.56</v>
      </c>
      <c r="N16" s="36">
        <v>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1">
        <f t="shared" si="0"/>
        <v>12.940000000000001</v>
      </c>
      <c r="AB16" s="45">
        <v>19.100000000000001</v>
      </c>
    </row>
    <row r="17" spans="1:28" ht="34.9" customHeight="1" x14ac:dyDescent="0.25">
      <c r="A17" s="2" t="s">
        <v>53</v>
      </c>
      <c r="B17" s="2" t="s">
        <v>52</v>
      </c>
      <c r="C17" s="36">
        <f>124.36</f>
        <v>124.36</v>
      </c>
      <c r="D17" s="36">
        <v>0</v>
      </c>
      <c r="E17" s="36">
        <f>148.42</f>
        <v>148.41999999999999</v>
      </c>
      <c r="F17" s="36">
        <v>0</v>
      </c>
      <c r="G17" s="36">
        <v>223.34</v>
      </c>
      <c r="H17" s="36">
        <v>0</v>
      </c>
      <c r="I17" s="36">
        <v>329.3</v>
      </c>
      <c r="J17" s="36">
        <v>0</v>
      </c>
      <c r="K17" s="36">
        <v>469.2</v>
      </c>
      <c r="L17" s="36">
        <v>0</v>
      </c>
      <c r="M17" s="36">
        <v>447.88</v>
      </c>
      <c r="N17" s="36">
        <v>0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42">
        <f t="shared" si="0"/>
        <v>1742.5</v>
      </c>
      <c r="AB17" s="45">
        <v>1211.0999999999999</v>
      </c>
    </row>
    <row r="18" spans="1:28" x14ac:dyDescent="0.25">
      <c r="A18" s="2" t="s">
        <v>54</v>
      </c>
      <c r="B18" s="2" t="s">
        <v>55</v>
      </c>
      <c r="C18" s="36">
        <f>0.72</f>
        <v>0.72</v>
      </c>
      <c r="D18" s="36">
        <v>0</v>
      </c>
      <c r="E18" s="36">
        <f>1.2</f>
        <v>1.2</v>
      </c>
      <c r="F18" s="36">
        <v>0</v>
      </c>
      <c r="G18" s="36">
        <v>1.72</v>
      </c>
      <c r="H18" s="36">
        <v>0</v>
      </c>
      <c r="I18" s="36">
        <v>2.3199999999999998</v>
      </c>
      <c r="J18" s="36">
        <v>0</v>
      </c>
      <c r="K18" s="36">
        <v>1.92</v>
      </c>
      <c r="L18" s="36">
        <v>0</v>
      </c>
      <c r="M18" s="36">
        <v>1.94</v>
      </c>
      <c r="N18" s="36">
        <v>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1">
        <f t="shared" si="0"/>
        <v>9.8199999999999985</v>
      </c>
      <c r="AB18" s="45">
        <v>13</v>
      </c>
    </row>
    <row r="19" spans="1:28" ht="42.75" x14ac:dyDescent="0.25">
      <c r="A19" s="2" t="s">
        <v>22</v>
      </c>
      <c r="B19" s="2" t="s">
        <v>23</v>
      </c>
      <c r="C19" s="36">
        <f>0.02</f>
        <v>0.02</v>
      </c>
      <c r="D19" s="36">
        <v>0</v>
      </c>
      <c r="E19" s="36">
        <f>0.04</f>
        <v>0.04</v>
      </c>
      <c r="F19" s="36">
        <v>0</v>
      </c>
      <c r="G19" s="36">
        <v>0.04</v>
      </c>
      <c r="H19" s="36">
        <v>0</v>
      </c>
      <c r="I19" s="36">
        <v>0.06</v>
      </c>
      <c r="J19" s="36">
        <v>0</v>
      </c>
      <c r="K19" s="36">
        <v>0.02</v>
      </c>
      <c r="L19" s="36">
        <v>0</v>
      </c>
      <c r="M19" s="36">
        <v>0.04</v>
      </c>
      <c r="N19" s="36">
        <v>0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42">
        <f t="shared" si="0"/>
        <v>0.22</v>
      </c>
      <c r="AB19" s="45">
        <v>0.2</v>
      </c>
    </row>
    <row r="20" spans="1:28" ht="28.5" x14ac:dyDescent="0.25">
      <c r="A20" s="2" t="s">
        <v>59</v>
      </c>
      <c r="B20" s="2" t="s">
        <v>58</v>
      </c>
      <c r="C20" s="36">
        <f>0.46</f>
        <v>0.46</v>
      </c>
      <c r="D20" s="36">
        <v>0</v>
      </c>
      <c r="E20" s="36">
        <f>0.64</f>
        <v>0.64</v>
      </c>
      <c r="F20" s="36">
        <v>0</v>
      </c>
      <c r="G20" s="36">
        <v>1.34</v>
      </c>
      <c r="H20" s="36">
        <v>0</v>
      </c>
      <c r="I20" s="36">
        <v>0.68</v>
      </c>
      <c r="J20" s="36">
        <v>0</v>
      </c>
      <c r="K20" s="36">
        <v>1.32</v>
      </c>
      <c r="L20" s="36">
        <v>0</v>
      </c>
      <c r="M20" s="36">
        <v>0.86</v>
      </c>
      <c r="N20" s="36">
        <v>0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1">
        <f t="shared" si="0"/>
        <v>5.3000000000000007</v>
      </c>
      <c r="AB20" s="45">
        <v>8.1999999999999993</v>
      </c>
    </row>
    <row r="21" spans="1:28" ht="28.5" x14ac:dyDescent="0.25">
      <c r="A21" s="2" t="s">
        <v>24</v>
      </c>
      <c r="B21" s="2" t="s">
        <v>25</v>
      </c>
      <c r="C21" s="36">
        <f>0.14</f>
        <v>0.14000000000000001</v>
      </c>
      <c r="D21" s="36">
        <v>0</v>
      </c>
      <c r="E21" s="36">
        <f>0.08</f>
        <v>0.08</v>
      </c>
      <c r="F21" s="36">
        <v>0</v>
      </c>
      <c r="G21" s="36">
        <v>0.16</v>
      </c>
      <c r="H21" s="36">
        <v>0</v>
      </c>
      <c r="I21" s="36">
        <v>0.1</v>
      </c>
      <c r="J21" s="36">
        <v>0</v>
      </c>
      <c r="K21" s="36">
        <v>0.14000000000000001</v>
      </c>
      <c r="L21" s="36">
        <v>0</v>
      </c>
      <c r="M21" s="36">
        <v>0.08</v>
      </c>
      <c r="N21" s="36">
        <v>0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42">
        <f t="shared" si="0"/>
        <v>0.7</v>
      </c>
      <c r="AB21" s="45">
        <v>0.7</v>
      </c>
    </row>
    <row r="22" spans="1:28" ht="28.5" x14ac:dyDescent="0.25">
      <c r="A22" s="2" t="s">
        <v>56</v>
      </c>
      <c r="B22" s="2" t="s">
        <v>57</v>
      </c>
      <c r="C22" s="36">
        <f>0.04</f>
        <v>0.04</v>
      </c>
      <c r="D22" s="36">
        <v>0</v>
      </c>
      <c r="E22" s="36">
        <f>0.02</f>
        <v>0.02</v>
      </c>
      <c r="F22" s="36">
        <v>0</v>
      </c>
      <c r="G22" s="36">
        <v>0.04</v>
      </c>
      <c r="H22" s="36">
        <v>0</v>
      </c>
      <c r="I22" s="36">
        <v>0.04</v>
      </c>
      <c r="J22" s="36">
        <v>0</v>
      </c>
      <c r="K22" s="36">
        <v>0.02</v>
      </c>
      <c r="L22" s="36">
        <v>0</v>
      </c>
      <c r="M22" s="36">
        <v>0.02</v>
      </c>
      <c r="N22" s="36">
        <v>0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1">
        <f t="shared" si="0"/>
        <v>0.18</v>
      </c>
      <c r="AB22" s="45">
        <v>0.3</v>
      </c>
    </row>
    <row r="23" spans="1:28" ht="85.5" x14ac:dyDescent="0.25">
      <c r="A23" s="2" t="s">
        <v>26</v>
      </c>
      <c r="B23" s="2" t="s">
        <v>27</v>
      </c>
      <c r="C23" s="36">
        <v>0</v>
      </c>
      <c r="D23" s="36">
        <v>0</v>
      </c>
      <c r="E23" s="36">
        <v>0</v>
      </c>
      <c r="F23" s="36">
        <v>0</v>
      </c>
      <c r="G23" s="36">
        <v>1.24</v>
      </c>
      <c r="H23" s="36">
        <v>0</v>
      </c>
      <c r="I23" s="36">
        <v>0</v>
      </c>
      <c r="J23" s="36">
        <v>0</v>
      </c>
      <c r="K23" s="36">
        <v>0.92</v>
      </c>
      <c r="L23" s="36">
        <v>0</v>
      </c>
      <c r="M23" s="36">
        <v>1.1000000000000001</v>
      </c>
      <c r="N23" s="36">
        <v>0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42">
        <f t="shared" si="0"/>
        <v>3.2600000000000002</v>
      </c>
      <c r="AB23" s="45">
        <v>2.2999999999999998</v>
      </c>
    </row>
    <row r="24" spans="1:28" ht="57" x14ac:dyDescent="0.25">
      <c r="A24" s="2" t="s">
        <v>28</v>
      </c>
      <c r="B24" s="2" t="s">
        <v>29</v>
      </c>
      <c r="C24" s="36">
        <f>0.74</f>
        <v>0.74</v>
      </c>
      <c r="D24" s="36">
        <v>0</v>
      </c>
      <c r="E24" s="36">
        <f>0.7</f>
        <v>0.7</v>
      </c>
      <c r="F24" s="36">
        <v>0</v>
      </c>
      <c r="G24" s="36">
        <v>1.06</v>
      </c>
      <c r="H24" s="36">
        <v>0</v>
      </c>
      <c r="I24" s="36">
        <v>1.46</v>
      </c>
      <c r="J24" s="36">
        <v>0</v>
      </c>
      <c r="K24" s="36">
        <v>0.5</v>
      </c>
      <c r="L24" s="36">
        <v>0</v>
      </c>
      <c r="M24" s="36">
        <v>1.36</v>
      </c>
      <c r="N24" s="36">
        <v>0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41">
        <f t="shared" si="0"/>
        <v>5.82</v>
      </c>
      <c r="AB24" s="45">
        <v>14.9</v>
      </c>
    </row>
    <row r="25" spans="1:28" x14ac:dyDescent="0.25">
      <c r="A25" s="2" t="s">
        <v>30</v>
      </c>
      <c r="B25" s="2" t="s">
        <v>31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42">
        <f t="shared" si="0"/>
        <v>0</v>
      </c>
      <c r="AB25" s="45">
        <v>0</v>
      </c>
    </row>
    <row r="26" spans="1:28" x14ac:dyDescent="0.25">
      <c r="A26" s="2" t="s">
        <v>133</v>
      </c>
      <c r="B26" s="2" t="s">
        <v>132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42">
        <v>0</v>
      </c>
      <c r="AB26" s="45">
        <v>512</v>
      </c>
    </row>
    <row r="27" spans="1:28" ht="28.5" x14ac:dyDescent="0.25">
      <c r="A27" s="2" t="s">
        <v>32</v>
      </c>
      <c r="B27" s="2" t="s">
        <v>33</v>
      </c>
      <c r="C27" s="36">
        <f>5.84</f>
        <v>5.84</v>
      </c>
      <c r="D27" s="36">
        <v>0</v>
      </c>
      <c r="E27" s="36">
        <f>16.72</f>
        <v>16.72</v>
      </c>
      <c r="F27" s="36">
        <v>0</v>
      </c>
      <c r="G27" s="36">
        <v>39.26</v>
      </c>
      <c r="H27" s="36">
        <v>0</v>
      </c>
      <c r="I27" s="36">
        <v>46.34</v>
      </c>
      <c r="J27" s="36">
        <v>0</v>
      </c>
      <c r="K27" s="36">
        <v>38.78</v>
      </c>
      <c r="L27" s="36">
        <v>0</v>
      </c>
      <c r="M27" s="36">
        <v>32.020000000000003</v>
      </c>
      <c r="N27" s="36">
        <v>0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41">
        <f t="shared" si="0"/>
        <v>178.96</v>
      </c>
      <c r="AB27" s="45">
        <v>720.4</v>
      </c>
    </row>
    <row r="28" spans="1:28" ht="42.75" x14ac:dyDescent="0.25">
      <c r="A28" s="3" t="s">
        <v>34</v>
      </c>
      <c r="B28" s="2" t="s">
        <v>35</v>
      </c>
      <c r="C28" s="36">
        <f>565.76</f>
        <v>565.76</v>
      </c>
      <c r="D28" s="36">
        <v>0</v>
      </c>
      <c r="E28" s="36">
        <f>534.16</f>
        <v>534.16</v>
      </c>
      <c r="F28" s="36">
        <v>0</v>
      </c>
      <c r="G28" s="36">
        <v>580.96</v>
      </c>
      <c r="H28" s="36">
        <v>0</v>
      </c>
      <c r="I28" s="36">
        <v>527.64</v>
      </c>
      <c r="J28" s="36">
        <v>0</v>
      </c>
      <c r="K28" s="36">
        <v>504.08</v>
      </c>
      <c r="L28" s="36">
        <v>0</v>
      </c>
      <c r="M28" s="36">
        <v>451.36</v>
      </c>
      <c r="N28" s="36">
        <v>0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42">
        <f t="shared" si="0"/>
        <v>3163.96</v>
      </c>
      <c r="AB28" s="45">
        <v>2400.4</v>
      </c>
    </row>
    <row r="29" spans="1:28" x14ac:dyDescent="0.25">
      <c r="A29" s="2" t="s">
        <v>36</v>
      </c>
      <c r="B29" s="2" t="s">
        <v>37</v>
      </c>
      <c r="C29" s="36">
        <f>9.62</f>
        <v>9.6199999999999992</v>
      </c>
      <c r="D29" s="36">
        <v>0</v>
      </c>
      <c r="E29" s="36">
        <f>18.24+23.22</f>
        <v>41.459999999999994</v>
      </c>
      <c r="F29" s="36">
        <v>0</v>
      </c>
      <c r="G29" s="36">
        <v>76.64</v>
      </c>
      <c r="H29" s="36">
        <v>0</v>
      </c>
      <c r="I29" s="36">
        <v>91.18</v>
      </c>
      <c r="J29" s="36">
        <v>0</v>
      </c>
      <c r="K29" s="36">
        <v>115.18</v>
      </c>
      <c r="L29" s="36">
        <v>0</v>
      </c>
      <c r="M29" s="36">
        <v>74.099999999999994</v>
      </c>
      <c r="N29" s="36">
        <v>0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41">
        <f t="shared" si="0"/>
        <v>408.18000000000006</v>
      </c>
      <c r="AB29" s="45">
        <v>469</v>
      </c>
    </row>
    <row r="30" spans="1:28" x14ac:dyDescent="0.25">
      <c r="A30" s="101" t="s">
        <v>100</v>
      </c>
      <c r="B30" s="102"/>
      <c r="C30" s="5">
        <f>SUM(C6:C29)</f>
        <v>904.6</v>
      </c>
      <c r="D30" s="5">
        <f>SUM(D6:D29)</f>
        <v>18.12</v>
      </c>
      <c r="E30" s="5">
        <f>SUM(E6:E29)</f>
        <v>897.02</v>
      </c>
      <c r="F30" s="5">
        <f>SUM(F6:F29)</f>
        <v>53.5</v>
      </c>
      <c r="G30" s="5">
        <f t="shared" ref="G30:H30" si="1">SUM(G6:G29)</f>
        <v>1060.0200000000002</v>
      </c>
      <c r="H30" s="5">
        <f t="shared" si="1"/>
        <v>124.86000000000001</v>
      </c>
      <c r="I30" s="5">
        <f t="shared" ref="I30" si="2">SUM(I6:I29)</f>
        <v>1106.9000000000001</v>
      </c>
      <c r="J30" s="5">
        <f t="shared" ref="J30" si="3">SUM(J6:J29)</f>
        <v>118.25999999999999</v>
      </c>
      <c r="K30" s="5">
        <f t="shared" ref="K30" si="4">SUM(K6:K29)</f>
        <v>1286.8799999999999</v>
      </c>
      <c r="L30" s="5">
        <f t="shared" ref="L30" si="5">SUM(L6:L29)</f>
        <v>131.63999999999999</v>
      </c>
      <c r="M30" s="5">
        <f t="shared" ref="M30" si="6">SUM(M6:M29)</f>
        <v>1145</v>
      </c>
      <c r="N30" s="5">
        <f t="shared" ref="N30" si="7">SUM(N6:N29)</f>
        <v>131.34</v>
      </c>
      <c r="O30" s="5">
        <f t="shared" ref="O30" si="8">SUM(O6:O29)</f>
        <v>0</v>
      </c>
      <c r="P30" s="5">
        <f t="shared" ref="P30" si="9">SUM(P6:P29)</f>
        <v>0</v>
      </c>
      <c r="Q30" s="5">
        <f t="shared" ref="Q30" si="10">SUM(Q6:Q29)</f>
        <v>0</v>
      </c>
      <c r="R30" s="5">
        <f t="shared" ref="R30" si="11">SUM(R6:R29)</f>
        <v>0</v>
      </c>
      <c r="S30" s="5">
        <f t="shared" ref="S30" si="12">SUM(S6:S29)</f>
        <v>0</v>
      </c>
      <c r="T30" s="5">
        <f t="shared" ref="T30" si="13">SUM(T6:T29)</f>
        <v>0</v>
      </c>
      <c r="U30" s="5">
        <f t="shared" ref="U30" si="14">SUM(U6:U29)</f>
        <v>0</v>
      </c>
      <c r="V30" s="5">
        <f t="shared" ref="V30" si="15">SUM(V6:V29)</f>
        <v>0</v>
      </c>
      <c r="W30" s="5">
        <f t="shared" ref="W30" si="16">SUM(W6:W29)</f>
        <v>0</v>
      </c>
      <c r="X30" s="5">
        <f t="shared" ref="X30" si="17">SUM(X6:X29)</f>
        <v>0</v>
      </c>
      <c r="Y30" s="5">
        <f t="shared" ref="Y30" si="18">SUM(Y6:Y29)</f>
        <v>0</v>
      </c>
      <c r="Z30" s="5">
        <f t="shared" ref="Z30" si="19">SUM(Z6:Z29)</f>
        <v>0</v>
      </c>
      <c r="AA30" s="43">
        <f>SUM(AA6:AA29)</f>
        <v>6978.14</v>
      </c>
      <c r="AB30" s="46">
        <v>6947.9</v>
      </c>
    </row>
    <row r="34" spans="27:27" x14ac:dyDescent="0.25">
      <c r="AA34" s="40"/>
    </row>
  </sheetData>
  <mergeCells count="15">
    <mergeCell ref="A30:B30"/>
    <mergeCell ref="C4:D4"/>
    <mergeCell ref="E4:F4"/>
    <mergeCell ref="A1:XFD1"/>
    <mergeCell ref="O4:P4"/>
    <mergeCell ref="M4:N4"/>
    <mergeCell ref="K4:L4"/>
    <mergeCell ref="I4:J4"/>
    <mergeCell ref="G4:H4"/>
    <mergeCell ref="AA4:AB4"/>
    <mergeCell ref="Y4:Z4"/>
    <mergeCell ref="W4:X4"/>
    <mergeCell ref="S4:T4"/>
    <mergeCell ref="Q4:R4"/>
    <mergeCell ref="U4:V4"/>
  </mergeCells>
  <pageMargins left="0.7" right="0.7" top="0.75" bottom="0.75" header="0.3" footer="0.3"/>
  <pageSetup paperSize="8" scale="9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01CE-AD99-4F6A-AC0C-1841BE26C777}">
  <sheetPr>
    <pageSetUpPr fitToPage="1"/>
  </sheetPr>
  <dimension ref="A1:T25"/>
  <sheetViews>
    <sheetView topLeftCell="A10" workbookViewId="0">
      <selection activeCell="N23" sqref="N23"/>
    </sheetView>
  </sheetViews>
  <sheetFormatPr defaultRowHeight="15" x14ac:dyDescent="0.25"/>
  <cols>
    <col min="1" max="1" width="11.5703125" customWidth="1"/>
    <col min="2" max="2" width="13.5703125" bestFit="1" customWidth="1"/>
    <col min="3" max="4" width="13.7109375" style="7" customWidth="1"/>
    <col min="5" max="6" width="14.85546875" customWidth="1"/>
    <col min="7" max="8" width="15" customWidth="1"/>
    <col min="9" max="12" width="13.42578125" customWidth="1"/>
    <col min="13" max="13" width="14.85546875" bestFit="1" customWidth="1"/>
    <col min="14" max="15" width="14.85546875" customWidth="1"/>
    <col min="16" max="16" width="9.7109375" customWidth="1"/>
    <col min="17" max="17" width="15" customWidth="1"/>
    <col min="18" max="18" width="17.28515625" customWidth="1"/>
    <col min="19" max="19" width="16.7109375" customWidth="1"/>
    <col min="20" max="20" width="12.7109375" customWidth="1"/>
    <col min="21" max="21" width="14.42578125" customWidth="1"/>
  </cols>
  <sheetData>
    <row r="1" spans="1:20" ht="33.75" customHeight="1" x14ac:dyDescent="0.25">
      <c r="A1" s="9" t="s">
        <v>71</v>
      </c>
    </row>
    <row r="2" spans="1:20" x14ac:dyDescent="0.25">
      <c r="B2" s="117"/>
      <c r="C2" s="117"/>
      <c r="D2" s="10"/>
      <c r="E2" s="117"/>
      <c r="F2" s="117"/>
      <c r="G2" s="117"/>
      <c r="H2" s="10"/>
      <c r="I2" s="10"/>
      <c r="J2" s="10"/>
      <c r="P2" s="117"/>
      <c r="Q2" s="106"/>
      <c r="R2" s="106"/>
      <c r="S2" s="106"/>
      <c r="T2" s="106"/>
    </row>
    <row r="3" spans="1:20" x14ac:dyDescent="0.25">
      <c r="C3" s="120" t="s">
        <v>68</v>
      </c>
      <c r="D3" s="121"/>
      <c r="E3" s="122"/>
      <c r="F3" s="122"/>
      <c r="G3" s="122"/>
      <c r="H3" s="122"/>
      <c r="I3" s="122"/>
      <c r="J3" s="122"/>
      <c r="K3" s="122"/>
      <c r="L3" s="123"/>
    </row>
    <row r="4" spans="1:20" ht="64.150000000000006" customHeight="1" x14ac:dyDescent="0.25">
      <c r="A4" s="81" t="s">
        <v>73</v>
      </c>
      <c r="B4" s="81" t="s">
        <v>74</v>
      </c>
      <c r="C4" s="118" t="s">
        <v>60</v>
      </c>
      <c r="D4" s="119"/>
      <c r="E4" s="118" t="s">
        <v>61</v>
      </c>
      <c r="F4" s="119"/>
      <c r="G4" s="118" t="s">
        <v>62</v>
      </c>
      <c r="H4" s="119"/>
      <c r="I4" s="118" t="s">
        <v>63</v>
      </c>
      <c r="J4" s="119"/>
      <c r="K4" s="118" t="s">
        <v>64</v>
      </c>
      <c r="L4" s="119"/>
      <c r="M4" s="118" t="s">
        <v>75</v>
      </c>
      <c r="N4" s="119"/>
      <c r="O4" s="11"/>
    </row>
    <row r="5" spans="1:20" ht="15.6" customHeight="1" x14ac:dyDescent="0.25">
      <c r="A5" s="79"/>
      <c r="B5" s="78" t="s">
        <v>134</v>
      </c>
      <c r="C5" s="80" t="s">
        <v>141</v>
      </c>
      <c r="D5" s="80" t="s">
        <v>142</v>
      </c>
      <c r="E5" s="80" t="s">
        <v>141</v>
      </c>
      <c r="F5" s="80" t="s">
        <v>142</v>
      </c>
      <c r="G5" s="80" t="s">
        <v>141</v>
      </c>
      <c r="H5" s="80" t="s">
        <v>142</v>
      </c>
      <c r="I5" s="80" t="s">
        <v>141</v>
      </c>
      <c r="J5" s="80" t="s">
        <v>142</v>
      </c>
      <c r="K5" s="80" t="s">
        <v>141</v>
      </c>
      <c r="L5" s="80" t="s">
        <v>142</v>
      </c>
      <c r="M5" s="80" t="s">
        <v>141</v>
      </c>
      <c r="N5" s="76" t="s">
        <v>142</v>
      </c>
      <c r="O5" s="11"/>
    </row>
    <row r="6" spans="1:20" x14ac:dyDescent="0.25">
      <c r="A6" s="113" t="s">
        <v>67</v>
      </c>
      <c r="B6" s="78" t="s">
        <v>38</v>
      </c>
      <c r="C6" s="78">
        <v>565.76</v>
      </c>
      <c r="D6" s="94">
        <v>426.74</v>
      </c>
      <c r="E6" s="78">
        <v>18.12</v>
      </c>
      <c r="F6" s="94">
        <v>117.58</v>
      </c>
      <c r="G6" s="78">
        <v>338.7</v>
      </c>
      <c r="H6" s="94">
        <v>442.72</v>
      </c>
      <c r="I6" s="78">
        <v>0.14000000000000001</v>
      </c>
      <c r="J6" s="94">
        <v>0.1</v>
      </c>
      <c r="K6" s="78" t="s">
        <v>66</v>
      </c>
      <c r="L6" s="95" t="s">
        <v>66</v>
      </c>
      <c r="M6" s="81">
        <f>C6+E6+G6+I6</f>
        <v>922.71999999999991</v>
      </c>
      <c r="N6" s="93">
        <f>D6+F6+H6+J6</f>
        <v>987.1400000000001</v>
      </c>
      <c r="O6" s="71"/>
    </row>
    <row r="7" spans="1:20" s="83" customFormat="1" x14ac:dyDescent="0.25">
      <c r="A7" s="114"/>
      <c r="B7" s="90" t="s">
        <v>72</v>
      </c>
      <c r="C7" s="90">
        <f>C6*B24</f>
        <v>156149.76000000001</v>
      </c>
      <c r="D7" s="96">
        <v>138157.07999999999</v>
      </c>
      <c r="E7" s="90">
        <f>E6*C24</f>
        <v>5254.8</v>
      </c>
      <c r="F7" s="96">
        <v>39997.19</v>
      </c>
      <c r="G7" s="90">
        <f>G6*D24</f>
        <v>105674.4</v>
      </c>
      <c r="H7" s="96">
        <v>161547.45000000001</v>
      </c>
      <c r="I7" s="90">
        <f>I6*E24</f>
        <v>316.54000000000002</v>
      </c>
      <c r="J7" s="96">
        <v>267.82</v>
      </c>
      <c r="K7" s="90">
        <f>F24</f>
        <v>17854.259999999998</v>
      </c>
      <c r="L7" s="96">
        <v>18602.13</v>
      </c>
      <c r="M7" s="91">
        <f>C7+E7+G7+I7+K7</f>
        <v>285249.75999999995</v>
      </c>
      <c r="N7" s="91">
        <f>D7+F7+H7+J7+L7</f>
        <v>358571.67</v>
      </c>
      <c r="O7" s="82"/>
    </row>
    <row r="8" spans="1:20" x14ac:dyDescent="0.25">
      <c r="A8" s="113" t="s">
        <v>69</v>
      </c>
      <c r="B8" s="78" t="s">
        <v>38</v>
      </c>
      <c r="C8" s="78">
        <v>534.16</v>
      </c>
      <c r="D8" s="94">
        <v>346.76</v>
      </c>
      <c r="E8" s="78">
        <v>53.5</v>
      </c>
      <c r="F8" s="94">
        <v>0</v>
      </c>
      <c r="G8" s="78">
        <v>362.86</v>
      </c>
      <c r="H8" s="94">
        <v>451.5</v>
      </c>
      <c r="I8" s="78">
        <v>0.08</v>
      </c>
      <c r="J8" s="94">
        <v>0.08</v>
      </c>
      <c r="K8" s="78" t="s">
        <v>66</v>
      </c>
      <c r="L8" s="95" t="s">
        <v>66</v>
      </c>
      <c r="M8" s="81">
        <f>C8+E8+G8+I8</f>
        <v>950.6</v>
      </c>
      <c r="N8" s="93">
        <f>D8+F8+H8+J8</f>
        <v>798.34</v>
      </c>
      <c r="O8" s="71"/>
    </row>
    <row r="9" spans="1:20" s="83" customFormat="1" x14ac:dyDescent="0.25">
      <c r="A9" s="114"/>
      <c r="B9" s="98" t="s">
        <v>72</v>
      </c>
      <c r="C9" s="90">
        <f>C8*B24</f>
        <v>147428.16</v>
      </c>
      <c r="D9" s="96">
        <v>112263.55</v>
      </c>
      <c r="E9" s="90">
        <f>E8*C24</f>
        <v>15515</v>
      </c>
      <c r="F9" s="96">
        <v>0</v>
      </c>
      <c r="G9" s="90">
        <f>G8*D24</f>
        <v>113212.32</v>
      </c>
      <c r="H9" s="96">
        <v>164788.47</v>
      </c>
      <c r="I9" s="90">
        <f>I8*E24</f>
        <v>180.88</v>
      </c>
      <c r="J9" s="96">
        <v>214.25</v>
      </c>
      <c r="K9" s="90">
        <f>F24</f>
        <v>17854.259999999998</v>
      </c>
      <c r="L9" s="96">
        <v>18602.13</v>
      </c>
      <c r="M9" s="91">
        <f>C9+E9+G9+I9+K9</f>
        <v>294190.62</v>
      </c>
      <c r="N9" s="91">
        <f>D9+F9+H9+J9+L9</f>
        <v>295868.40000000002</v>
      </c>
      <c r="O9" s="82"/>
    </row>
    <row r="10" spans="1:20" x14ac:dyDescent="0.25">
      <c r="A10" s="113" t="s">
        <v>76</v>
      </c>
      <c r="B10" s="78" t="s">
        <v>38</v>
      </c>
      <c r="C10" s="78">
        <v>580.96</v>
      </c>
      <c r="D10" s="44">
        <v>426.46</v>
      </c>
      <c r="E10" s="92">
        <v>121.8</v>
      </c>
      <c r="F10" s="97">
        <v>0</v>
      </c>
      <c r="G10" s="92">
        <v>481.88</v>
      </c>
      <c r="H10" s="97">
        <v>703.76</v>
      </c>
      <c r="I10" s="92">
        <v>0.16</v>
      </c>
      <c r="J10" s="97">
        <v>0.16</v>
      </c>
      <c r="K10" s="78" t="s">
        <v>66</v>
      </c>
      <c r="L10" s="36" t="s">
        <v>66</v>
      </c>
      <c r="M10" s="81">
        <f>C10+E10+G10+I10</f>
        <v>1184.8</v>
      </c>
      <c r="N10" s="81">
        <f>D10+F10+H10+J10</f>
        <v>1130.3800000000001</v>
      </c>
      <c r="O10" s="72"/>
    </row>
    <row r="11" spans="1:20" s="83" customFormat="1" x14ac:dyDescent="0.25">
      <c r="A11" s="114"/>
      <c r="B11" s="90" t="s">
        <v>72</v>
      </c>
      <c r="C11" s="90">
        <v>160344.95999999999</v>
      </c>
      <c r="D11" s="96">
        <v>138066.43</v>
      </c>
      <c r="E11" s="90">
        <v>36209.4</v>
      </c>
      <c r="F11" s="96">
        <v>0</v>
      </c>
      <c r="G11" s="90">
        <v>149416.79999999999</v>
      </c>
      <c r="H11" s="96">
        <v>256858.32</v>
      </c>
      <c r="I11" s="90">
        <v>361.76</v>
      </c>
      <c r="J11" s="96">
        <v>428.5</v>
      </c>
      <c r="K11" s="90">
        <v>17854.259999999998</v>
      </c>
      <c r="L11" s="96">
        <v>18602.13</v>
      </c>
      <c r="M11" s="91">
        <f>C11+E11+G11+I11+K11</f>
        <v>364187.18</v>
      </c>
      <c r="N11" s="91">
        <f>D11+F11+H11+J11+L11</f>
        <v>413955.38</v>
      </c>
      <c r="O11" s="82"/>
    </row>
    <row r="12" spans="1:20" x14ac:dyDescent="0.25">
      <c r="A12" s="115" t="s">
        <v>77</v>
      </c>
      <c r="B12" s="78" t="s">
        <v>38</v>
      </c>
      <c r="C12" s="78">
        <v>527.64</v>
      </c>
      <c r="D12" s="44">
        <v>415.24</v>
      </c>
      <c r="E12" s="78">
        <v>118.26</v>
      </c>
      <c r="F12" s="44">
        <v>0</v>
      </c>
      <c r="G12" s="78">
        <v>579.16</v>
      </c>
      <c r="H12" s="44">
        <v>824.22</v>
      </c>
      <c r="I12" s="78">
        <v>0.1</v>
      </c>
      <c r="J12" s="44">
        <v>0.16</v>
      </c>
      <c r="K12" s="78" t="s">
        <v>66</v>
      </c>
      <c r="L12" s="36" t="s">
        <v>66</v>
      </c>
      <c r="M12" s="81">
        <f>C12+E12+G12+I12</f>
        <v>1225.1599999999999</v>
      </c>
      <c r="N12" s="81">
        <f>D12+F12+H12+J12</f>
        <v>1239.6200000000001</v>
      </c>
      <c r="O12" s="73"/>
    </row>
    <row r="13" spans="1:20" s="83" customFormat="1" x14ac:dyDescent="0.25">
      <c r="A13" s="115"/>
      <c r="B13" s="90" t="s">
        <v>72</v>
      </c>
      <c r="C13" s="90">
        <v>145628.64000000001</v>
      </c>
      <c r="D13" s="96">
        <v>134433.95000000001</v>
      </c>
      <c r="E13" s="90">
        <v>34295.4</v>
      </c>
      <c r="F13" s="96">
        <v>0</v>
      </c>
      <c r="G13" s="90">
        <v>180697.92</v>
      </c>
      <c r="H13" s="96">
        <v>300823.82</v>
      </c>
      <c r="I13" s="90">
        <v>226.1</v>
      </c>
      <c r="J13" s="96">
        <v>428.5</v>
      </c>
      <c r="K13" s="90">
        <v>17854.259999999998</v>
      </c>
      <c r="L13" s="96">
        <v>18602.13</v>
      </c>
      <c r="M13" s="91">
        <f>C13+E13+G13+I13+K13</f>
        <v>378702.32</v>
      </c>
      <c r="N13" s="91">
        <f>D13+F13+H13+J13+L13</f>
        <v>454288.4</v>
      </c>
      <c r="O13" s="85"/>
    </row>
    <row r="14" spans="1:20" x14ac:dyDescent="0.25">
      <c r="A14" s="115" t="s">
        <v>78</v>
      </c>
      <c r="B14" s="78" t="s">
        <v>38</v>
      </c>
      <c r="C14" s="78">
        <v>504.08</v>
      </c>
      <c r="D14" s="44">
        <v>409.46</v>
      </c>
      <c r="E14" s="78">
        <v>131.63999999999999</v>
      </c>
      <c r="F14" s="44">
        <v>0</v>
      </c>
      <c r="G14" s="78">
        <v>782.66</v>
      </c>
      <c r="H14" s="44">
        <v>1176.02</v>
      </c>
      <c r="I14" s="78">
        <v>0.14000000000000001</v>
      </c>
      <c r="J14" s="44">
        <v>0.12</v>
      </c>
      <c r="K14" s="78" t="s">
        <v>66</v>
      </c>
      <c r="L14" s="36" t="s">
        <v>66</v>
      </c>
      <c r="M14" s="81">
        <f>C14+E14+G14+I14</f>
        <v>1418.5200000000002</v>
      </c>
      <c r="N14" s="81">
        <f>D14+F14+H14+J14</f>
        <v>1585.6</v>
      </c>
      <c r="O14" s="73"/>
    </row>
    <row r="15" spans="1:20" s="83" customFormat="1" x14ac:dyDescent="0.25">
      <c r="A15" s="115"/>
      <c r="B15" s="90" t="s">
        <v>72</v>
      </c>
      <c r="C15" s="90">
        <v>139126.07999999999</v>
      </c>
      <c r="D15" s="96">
        <v>132562.68</v>
      </c>
      <c r="E15" s="90">
        <v>38175.599999999999</v>
      </c>
      <c r="F15" s="96">
        <v>0</v>
      </c>
      <c r="G15" s="90">
        <v>244189.92</v>
      </c>
      <c r="H15" s="96">
        <v>429223.78</v>
      </c>
      <c r="I15" s="90">
        <v>316.54000000000002</v>
      </c>
      <c r="J15" s="96">
        <v>321.38</v>
      </c>
      <c r="K15" s="90">
        <v>17854.259999999998</v>
      </c>
      <c r="L15" s="96">
        <v>18602.13</v>
      </c>
      <c r="M15" s="91">
        <f>C15+E15+G15+I15+K15</f>
        <v>439662.39999999997</v>
      </c>
      <c r="N15" s="91">
        <f>D15+F15+H15+J15+L15</f>
        <v>580709.97</v>
      </c>
      <c r="O15" s="85"/>
    </row>
    <row r="16" spans="1:20" x14ac:dyDescent="0.25">
      <c r="A16" s="115" t="s">
        <v>79</v>
      </c>
      <c r="B16" s="78" t="s">
        <v>38</v>
      </c>
      <c r="C16" s="78">
        <v>451.36</v>
      </c>
      <c r="D16" s="44">
        <v>375.78</v>
      </c>
      <c r="E16" s="78">
        <v>131.34</v>
      </c>
      <c r="F16" s="44">
        <v>0</v>
      </c>
      <c r="G16" s="78">
        <v>693.56</v>
      </c>
      <c r="H16" s="44">
        <v>830.96</v>
      </c>
      <c r="I16" s="78">
        <v>0.08</v>
      </c>
      <c r="J16" s="44">
        <v>0.12</v>
      </c>
      <c r="K16" s="78" t="s">
        <v>66</v>
      </c>
      <c r="L16" s="36" t="s">
        <v>66</v>
      </c>
      <c r="M16" s="81">
        <f>C16+E16+G16+I16</f>
        <v>1276.3399999999999</v>
      </c>
      <c r="N16" s="81">
        <f>D16+F16+H16+J16</f>
        <v>1206.8599999999999</v>
      </c>
      <c r="O16" s="73"/>
    </row>
    <row r="17" spans="1:15" s="83" customFormat="1" x14ac:dyDescent="0.25">
      <c r="A17" s="115"/>
      <c r="B17" s="90" t="s">
        <v>72</v>
      </c>
      <c r="C17" s="90">
        <v>124575.36</v>
      </c>
      <c r="D17" s="96">
        <v>121658.78</v>
      </c>
      <c r="E17" s="90">
        <v>38088.6</v>
      </c>
      <c r="F17" s="96">
        <v>0</v>
      </c>
      <c r="G17" s="90">
        <v>216390.72</v>
      </c>
      <c r="H17" s="96">
        <v>303283.78000000003</v>
      </c>
      <c r="I17" s="90">
        <v>180.88</v>
      </c>
      <c r="J17" s="96">
        <v>321.38</v>
      </c>
      <c r="K17" s="90">
        <v>17854.259999999998</v>
      </c>
      <c r="L17" s="96">
        <v>18602.13</v>
      </c>
      <c r="M17" s="91">
        <f>C17+E17+G17+I17+K17</f>
        <v>397089.82</v>
      </c>
      <c r="N17" s="91">
        <f>D17+F17+H17+J17+L17</f>
        <v>443866.07000000007</v>
      </c>
      <c r="O17" s="85"/>
    </row>
    <row r="18" spans="1:15" ht="15.75" x14ac:dyDescent="0.25">
      <c r="A18" s="115" t="s">
        <v>101</v>
      </c>
      <c r="B18" s="115"/>
      <c r="C18" s="78"/>
      <c r="D18" s="78"/>
      <c r="E18" s="78"/>
      <c r="F18" s="78"/>
      <c r="G18" s="78"/>
      <c r="H18" s="78"/>
      <c r="I18" s="78"/>
      <c r="J18" s="78"/>
      <c r="K18" s="81" t="s">
        <v>94</v>
      </c>
      <c r="L18" s="81"/>
      <c r="M18" s="99">
        <f>M6+M8+M10+M12+M14+M16</f>
        <v>6978.14</v>
      </c>
      <c r="N18" s="100">
        <f>N6+N8+N10+N12+N14+N16</f>
        <v>6947.94</v>
      </c>
      <c r="O18" s="77"/>
    </row>
    <row r="19" spans="1:15" s="83" customFormat="1" ht="15.75" x14ac:dyDescent="0.25">
      <c r="A19" s="116" t="s">
        <v>102</v>
      </c>
      <c r="B19" s="116"/>
      <c r="C19" s="87"/>
      <c r="D19" s="87"/>
      <c r="E19" s="87"/>
      <c r="F19" s="87"/>
      <c r="G19" s="87"/>
      <c r="H19" s="87"/>
      <c r="I19" s="87"/>
      <c r="J19" s="87"/>
      <c r="K19" s="84" t="s">
        <v>95</v>
      </c>
      <c r="L19" s="84"/>
      <c r="M19" s="88">
        <f>M7+M9+M11+M13+M15+M17</f>
        <v>2159082.0999999996</v>
      </c>
      <c r="N19" s="89">
        <f>N7+N9+N11+N13+N15+N17</f>
        <v>2547259.8900000006</v>
      </c>
      <c r="O19" s="86"/>
    </row>
    <row r="20" spans="1:15" x14ac:dyDescent="0.25">
      <c r="A20" s="37"/>
      <c r="B20" s="37"/>
      <c r="C20" s="38"/>
      <c r="D20" s="38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x14ac:dyDescent="0.25">
      <c r="M21" s="27"/>
      <c r="N21" s="27"/>
      <c r="O21" s="27"/>
    </row>
    <row r="22" spans="1:15" x14ac:dyDescent="0.25">
      <c r="A22" s="11"/>
      <c r="B22" s="110" t="s">
        <v>65</v>
      </c>
      <c r="C22" s="111"/>
      <c r="D22" s="112"/>
      <c r="E22" s="112"/>
      <c r="F22" s="112"/>
    </row>
    <row r="23" spans="1:15" ht="165" x14ac:dyDescent="0.25">
      <c r="A23" s="76" t="s">
        <v>134</v>
      </c>
      <c r="B23" s="76" t="s">
        <v>60</v>
      </c>
      <c r="C23" s="76" t="s">
        <v>61</v>
      </c>
      <c r="D23" s="76" t="s">
        <v>62</v>
      </c>
      <c r="E23" s="76" t="s">
        <v>63</v>
      </c>
      <c r="F23" s="76" t="s">
        <v>70</v>
      </c>
    </row>
    <row r="24" spans="1:15" x14ac:dyDescent="0.25">
      <c r="A24" s="22">
        <v>2022</v>
      </c>
      <c r="B24" s="74">
        <v>276</v>
      </c>
      <c r="C24" s="74">
        <v>290</v>
      </c>
      <c r="D24" s="74">
        <v>312</v>
      </c>
      <c r="E24" s="74">
        <v>2261</v>
      </c>
      <c r="F24" s="74">
        <v>17854.259999999998</v>
      </c>
    </row>
    <row r="25" spans="1:15" x14ac:dyDescent="0.25">
      <c r="A25" s="22">
        <v>2023</v>
      </c>
      <c r="B25" s="75">
        <v>323.75</v>
      </c>
      <c r="C25" s="75">
        <v>340.17</v>
      </c>
      <c r="D25" s="75">
        <v>364.98</v>
      </c>
      <c r="E25" s="75">
        <v>2678.15</v>
      </c>
      <c r="F25" s="75">
        <v>18602.13</v>
      </c>
    </row>
  </sheetData>
  <mergeCells count="19">
    <mergeCell ref="A8:A9"/>
    <mergeCell ref="B2:C2"/>
    <mergeCell ref="E2:G2"/>
    <mergeCell ref="P2:T2"/>
    <mergeCell ref="A6:A7"/>
    <mergeCell ref="C4:D4"/>
    <mergeCell ref="E4:F4"/>
    <mergeCell ref="G4:H4"/>
    <mergeCell ref="I4:J4"/>
    <mergeCell ref="K4:L4"/>
    <mergeCell ref="M4:N4"/>
    <mergeCell ref="C3:L3"/>
    <mergeCell ref="B22:F22"/>
    <mergeCell ref="A10:A11"/>
    <mergeCell ref="A12:A13"/>
    <mergeCell ref="A14:A15"/>
    <mergeCell ref="A18:B18"/>
    <mergeCell ref="A19:B19"/>
    <mergeCell ref="A16:A17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B133-DC5F-4B9D-BCC1-E8337E96C135}">
  <sheetPr>
    <pageSetUpPr fitToPage="1"/>
  </sheetPr>
  <dimension ref="A1:P21"/>
  <sheetViews>
    <sheetView workbookViewId="0">
      <selection activeCell="P14" sqref="P14"/>
    </sheetView>
  </sheetViews>
  <sheetFormatPr defaultRowHeight="15" x14ac:dyDescent="0.25"/>
  <cols>
    <col min="1" max="1" width="18.42578125" customWidth="1"/>
    <col min="3" max="4" width="11.42578125" customWidth="1"/>
    <col min="5" max="5" width="14" customWidth="1"/>
    <col min="6" max="6" width="14.140625" customWidth="1"/>
    <col min="7" max="7" width="14" customWidth="1"/>
    <col min="8" max="8" width="14.42578125" customWidth="1"/>
    <col min="9" max="9" width="4.140625" hidden="1" customWidth="1"/>
    <col min="10" max="10" width="5" hidden="1" customWidth="1"/>
    <col min="11" max="11" width="3.28515625" hidden="1" customWidth="1"/>
    <col min="12" max="12" width="2.42578125" hidden="1" customWidth="1"/>
    <col min="13" max="13" width="3.28515625" hidden="1" customWidth="1"/>
    <col min="14" max="14" width="2.140625" hidden="1" customWidth="1"/>
    <col min="15" max="15" width="18.42578125" customWidth="1"/>
    <col min="16" max="16" width="16.7109375" customWidth="1"/>
  </cols>
  <sheetData>
    <row r="1" spans="1:16" ht="18.75" x14ac:dyDescent="0.3">
      <c r="A1" s="6" t="s">
        <v>91</v>
      </c>
    </row>
    <row r="2" spans="1:16" x14ac:dyDescent="0.25">
      <c r="A2" s="28" t="s">
        <v>123</v>
      </c>
    </row>
    <row r="3" spans="1:16" ht="34.5" customHeight="1" x14ac:dyDescent="0.25">
      <c r="A3" s="8" t="s">
        <v>85</v>
      </c>
      <c r="B3" s="8" t="s">
        <v>84</v>
      </c>
      <c r="C3" s="13" t="s">
        <v>39</v>
      </c>
      <c r="D3" s="13" t="s">
        <v>40</v>
      </c>
      <c r="E3" s="13" t="s">
        <v>41</v>
      </c>
      <c r="F3" s="13" t="s">
        <v>42</v>
      </c>
      <c r="G3" s="13" t="s">
        <v>43</v>
      </c>
      <c r="H3" s="13" t="s">
        <v>44</v>
      </c>
      <c r="I3" s="13" t="s">
        <v>45</v>
      </c>
      <c r="J3" s="13" t="s">
        <v>46</v>
      </c>
      <c r="K3" s="13" t="s">
        <v>47</v>
      </c>
      <c r="L3" s="13" t="s">
        <v>48</v>
      </c>
      <c r="M3" s="13" t="s">
        <v>49</v>
      </c>
      <c r="N3" s="13" t="s">
        <v>50</v>
      </c>
      <c r="O3" s="13" t="s">
        <v>51</v>
      </c>
      <c r="P3" s="2" t="s">
        <v>90</v>
      </c>
    </row>
    <row r="4" spans="1:16" ht="42.75" x14ac:dyDescent="0.25">
      <c r="A4" s="14" t="s">
        <v>80</v>
      </c>
      <c r="B4" s="12" t="s">
        <v>3</v>
      </c>
      <c r="C4" s="12">
        <v>5.18</v>
      </c>
      <c r="D4" s="12">
        <v>4.4800000000000004</v>
      </c>
      <c r="E4" s="12">
        <v>5.22</v>
      </c>
      <c r="F4" s="12">
        <v>2.94</v>
      </c>
      <c r="G4" s="12">
        <v>3.72</v>
      </c>
      <c r="H4" s="12">
        <v>3.84</v>
      </c>
      <c r="I4" s="12"/>
      <c r="J4" s="12"/>
      <c r="K4" s="12"/>
      <c r="L4" s="12"/>
      <c r="M4" s="12"/>
      <c r="N4" s="12"/>
      <c r="O4" s="12">
        <f>SUM(C4:N4)</f>
        <v>25.38</v>
      </c>
      <c r="P4" s="23">
        <f>O4*C13*B18</f>
        <v>2192.8319999999999</v>
      </c>
    </row>
    <row r="5" spans="1:16" ht="42.75" x14ac:dyDescent="0.25">
      <c r="A5" s="15" t="s">
        <v>81</v>
      </c>
      <c r="B5" s="16" t="s">
        <v>3</v>
      </c>
      <c r="C5" s="16">
        <v>2.8</v>
      </c>
      <c r="D5" s="16">
        <v>23.88</v>
      </c>
      <c r="E5" s="16">
        <v>40.159999999999997</v>
      </c>
      <c r="F5" s="16">
        <v>38.880000000000003</v>
      </c>
      <c r="G5" s="16">
        <v>43.9</v>
      </c>
      <c r="H5" s="16">
        <v>44.56</v>
      </c>
      <c r="I5" s="16"/>
      <c r="J5" s="16"/>
      <c r="K5" s="16"/>
      <c r="L5" s="16"/>
      <c r="M5" s="16"/>
      <c r="N5" s="16"/>
      <c r="O5" s="16">
        <f t="shared" ref="O5:O7" si="0">SUM(C5:N5)</f>
        <v>194.18</v>
      </c>
      <c r="P5" s="24">
        <f>O5*C14*B18</f>
        <v>37748.592000000004</v>
      </c>
    </row>
    <row r="6" spans="1:16" ht="57" x14ac:dyDescent="0.25">
      <c r="A6" s="14" t="s">
        <v>82</v>
      </c>
      <c r="B6" s="12" t="s">
        <v>5</v>
      </c>
      <c r="C6" s="12">
        <v>10.14</v>
      </c>
      <c r="D6" s="12">
        <v>25.14</v>
      </c>
      <c r="E6" s="12">
        <v>79.48</v>
      </c>
      <c r="F6" s="12">
        <v>76.44</v>
      </c>
      <c r="G6" s="12">
        <v>79.94</v>
      </c>
      <c r="H6" s="12">
        <v>79.58</v>
      </c>
      <c r="I6" s="12"/>
      <c r="J6" s="12"/>
      <c r="K6" s="12"/>
      <c r="L6" s="12"/>
      <c r="M6" s="12"/>
      <c r="N6" s="12"/>
      <c r="O6" s="12">
        <f t="shared" si="0"/>
        <v>350.71999999999997</v>
      </c>
      <c r="P6" s="23">
        <f>O6*C15*B18</f>
        <v>68179.967999999993</v>
      </c>
    </row>
    <row r="7" spans="1:16" ht="57" x14ac:dyDescent="0.25">
      <c r="A7" s="15" t="s">
        <v>83</v>
      </c>
      <c r="B7" s="16" t="s">
        <v>5</v>
      </c>
      <c r="C7" s="16">
        <v>0</v>
      </c>
      <c r="D7" s="16">
        <v>0</v>
      </c>
      <c r="E7" s="16">
        <v>0</v>
      </c>
      <c r="F7" s="16">
        <v>0</v>
      </c>
      <c r="G7" s="16">
        <v>4.08</v>
      </c>
      <c r="H7" s="16">
        <v>3.36</v>
      </c>
      <c r="I7" s="16"/>
      <c r="J7" s="16"/>
      <c r="K7" s="16"/>
      <c r="L7" s="16"/>
      <c r="M7" s="16"/>
      <c r="N7" s="16"/>
      <c r="O7" s="16">
        <f t="shared" si="0"/>
        <v>7.4399999999999995</v>
      </c>
      <c r="P7" s="23">
        <f>O7*D16*B18</f>
        <v>2490.9119999999998</v>
      </c>
    </row>
    <row r="8" spans="1:16" ht="15.75" x14ac:dyDescent="0.25">
      <c r="A8" s="20"/>
      <c r="B8" s="12" t="s">
        <v>89</v>
      </c>
      <c r="C8" s="22">
        <f>SUM(C4:C7)</f>
        <v>18.12</v>
      </c>
      <c r="D8" s="22">
        <f t="shared" ref="D8:N8" si="1">SUM(D4:D7)</f>
        <v>53.5</v>
      </c>
      <c r="E8" s="22">
        <f t="shared" si="1"/>
        <v>124.86</v>
      </c>
      <c r="F8" s="22">
        <f t="shared" si="1"/>
        <v>118.25999999999999</v>
      </c>
      <c r="G8" s="22">
        <f t="shared" si="1"/>
        <v>131.64000000000001</v>
      </c>
      <c r="H8" s="22">
        <f t="shared" si="1"/>
        <v>131.34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>SUM(O4:O7)</f>
        <v>577.72</v>
      </c>
      <c r="P8" s="34">
        <f>SUM(P4:P7)</f>
        <v>110612.30399999999</v>
      </c>
    </row>
    <row r="9" spans="1:16" ht="18.75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</row>
    <row r="10" spans="1:16" ht="15" customHeight="1" x14ac:dyDescent="0.3">
      <c r="A10" s="29" t="s">
        <v>103</v>
      </c>
      <c r="B10" s="6"/>
    </row>
    <row r="11" spans="1:16" ht="15.75" x14ac:dyDescent="0.25">
      <c r="A11" s="29" t="s">
        <v>104</v>
      </c>
      <c r="C11" s="124" t="s">
        <v>87</v>
      </c>
      <c r="D11" s="109"/>
    </row>
    <row r="12" spans="1:16" x14ac:dyDescent="0.25">
      <c r="A12" s="8" t="s">
        <v>85</v>
      </c>
      <c r="B12" s="8" t="s">
        <v>84</v>
      </c>
      <c r="C12" s="17" t="s">
        <v>86</v>
      </c>
      <c r="D12" s="17" t="s">
        <v>124</v>
      </c>
    </row>
    <row r="13" spans="1:16" ht="42.75" x14ac:dyDescent="0.25">
      <c r="A13" s="14" t="s">
        <v>80</v>
      </c>
      <c r="B13" s="12" t="s">
        <v>3</v>
      </c>
      <c r="C13" s="12">
        <v>80</v>
      </c>
      <c r="D13" s="12">
        <v>100</v>
      </c>
    </row>
    <row r="14" spans="1:16" ht="42.75" x14ac:dyDescent="0.25">
      <c r="A14" s="15" t="s">
        <v>81</v>
      </c>
      <c r="B14" s="16" t="s">
        <v>3</v>
      </c>
      <c r="C14" s="12">
        <v>180</v>
      </c>
      <c r="D14" s="12">
        <v>200</v>
      </c>
    </row>
    <row r="15" spans="1:16" ht="57" x14ac:dyDescent="0.25">
      <c r="A15" s="14" t="s">
        <v>82</v>
      </c>
      <c r="B15" s="12" t="s">
        <v>5</v>
      </c>
      <c r="C15" s="12">
        <v>180</v>
      </c>
      <c r="D15" s="12">
        <v>200</v>
      </c>
    </row>
    <row r="16" spans="1:16" ht="53.45" customHeight="1" x14ac:dyDescent="0.25">
      <c r="A16" s="15" t="s">
        <v>83</v>
      </c>
      <c r="B16" s="16" t="s">
        <v>5</v>
      </c>
      <c r="C16" s="12"/>
      <c r="D16" s="12">
        <v>310</v>
      </c>
    </row>
    <row r="18" spans="1:16" x14ac:dyDescent="0.25">
      <c r="A18" s="1" t="s">
        <v>88</v>
      </c>
      <c r="B18" s="18">
        <v>1.08</v>
      </c>
      <c r="C18" s="19"/>
    </row>
    <row r="20" spans="1:16" ht="42.75" x14ac:dyDescent="0.25">
      <c r="A20" s="125" t="s">
        <v>105</v>
      </c>
      <c r="B20" s="125"/>
      <c r="C20" s="13" t="s">
        <v>39</v>
      </c>
      <c r="D20" s="13" t="s">
        <v>40</v>
      </c>
      <c r="E20" s="13" t="s">
        <v>41</v>
      </c>
      <c r="F20" s="13" t="s">
        <v>42</v>
      </c>
      <c r="G20" s="13" t="s">
        <v>43</v>
      </c>
      <c r="H20" s="13" t="s">
        <v>44</v>
      </c>
      <c r="I20" s="13" t="s">
        <v>45</v>
      </c>
      <c r="J20" s="13" t="s">
        <v>46</v>
      </c>
      <c r="K20" s="13" t="s">
        <v>47</v>
      </c>
      <c r="L20" s="13" t="s">
        <v>48</v>
      </c>
      <c r="M20" s="13" t="s">
        <v>49</v>
      </c>
      <c r="N20" s="13" t="s">
        <v>50</v>
      </c>
      <c r="O20" s="2" t="s">
        <v>93</v>
      </c>
      <c r="P20" s="2" t="s">
        <v>92</v>
      </c>
    </row>
    <row r="21" spans="1:16" ht="30.75" customHeight="1" x14ac:dyDescent="0.25">
      <c r="A21" s="126"/>
      <c r="B21" s="126"/>
      <c r="C21" s="30">
        <v>394662.55</v>
      </c>
      <c r="D21" s="30">
        <v>414590.29</v>
      </c>
      <c r="E21" s="30">
        <v>521341.27</v>
      </c>
      <c r="F21" s="30">
        <f>558052.29</f>
        <v>558052.29</v>
      </c>
      <c r="G21" s="30">
        <f>657046.63</f>
        <v>657046.63</v>
      </c>
      <c r="H21" s="30">
        <f>568910.4</f>
        <v>568910.4</v>
      </c>
      <c r="I21" s="30"/>
      <c r="J21" s="30"/>
      <c r="K21" s="30"/>
      <c r="L21" s="30"/>
      <c r="M21" s="30"/>
      <c r="N21" s="30"/>
      <c r="O21" s="35">
        <f>SUM(C21:N21)</f>
        <v>3114603.4299999997</v>
      </c>
      <c r="P21" s="31">
        <f>P8+O21</f>
        <v>3225215.7339999997</v>
      </c>
    </row>
  </sheetData>
  <mergeCells count="2">
    <mergeCell ref="C11:D11"/>
    <mergeCell ref="A20:B21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B0AE-82A4-4767-8DAE-E81424BBE985}">
  <dimension ref="A2:J7"/>
  <sheetViews>
    <sheetView workbookViewId="0">
      <selection activeCell="G10" sqref="G10"/>
    </sheetView>
  </sheetViews>
  <sheetFormatPr defaultRowHeight="15" x14ac:dyDescent="0.25"/>
  <cols>
    <col min="2" max="2" width="19.5703125" style="47" customWidth="1"/>
    <col min="3" max="3" width="19.140625" customWidth="1"/>
    <col min="4" max="4" width="17.7109375" customWidth="1"/>
    <col min="5" max="5" width="16" customWidth="1"/>
    <col min="6" max="6" width="14.28515625" customWidth="1"/>
    <col min="7" max="7" width="15.85546875" customWidth="1"/>
    <col min="8" max="8" width="17.7109375" customWidth="1"/>
    <col min="9" max="9" width="18.28515625" customWidth="1"/>
    <col min="10" max="10" width="17.5703125" customWidth="1"/>
  </cols>
  <sheetData>
    <row r="2" spans="1:10" ht="31.5" x14ac:dyDescent="0.25">
      <c r="A2" s="57" t="s">
        <v>134</v>
      </c>
      <c r="B2" s="58" t="s">
        <v>137</v>
      </c>
      <c r="C2" s="59" t="s">
        <v>39</v>
      </c>
      <c r="D2" s="59" t="s">
        <v>40</v>
      </c>
      <c r="E2" s="59" t="s">
        <v>41</v>
      </c>
      <c r="F2" s="59" t="s">
        <v>42</v>
      </c>
      <c r="G2" s="59" t="s">
        <v>43</v>
      </c>
      <c r="H2" s="59" t="s">
        <v>44</v>
      </c>
      <c r="I2" s="58" t="s">
        <v>93</v>
      </c>
      <c r="J2" s="58" t="s">
        <v>140</v>
      </c>
    </row>
    <row r="3" spans="1:10" ht="61.15" customHeight="1" x14ac:dyDescent="0.25">
      <c r="A3" s="127">
        <v>2022</v>
      </c>
      <c r="B3" s="51" t="s">
        <v>138</v>
      </c>
      <c r="C3" s="56">
        <v>2963.09</v>
      </c>
      <c r="D3" s="56">
        <v>9916.56</v>
      </c>
      <c r="E3" s="56">
        <v>23709.02</v>
      </c>
      <c r="F3" s="56">
        <v>25226.639999999999</v>
      </c>
      <c r="G3" s="56">
        <v>28517.18</v>
      </c>
      <c r="H3" s="56">
        <v>28353.89</v>
      </c>
      <c r="I3" s="52">
        <f>SUM(C3:H3)</f>
        <v>118686.37999999999</v>
      </c>
      <c r="J3" s="131">
        <f>I3+I4</f>
        <v>3233294.8099999996</v>
      </c>
    </row>
    <row r="4" spans="1:10" ht="40.15" customHeight="1" x14ac:dyDescent="0.25">
      <c r="A4" s="128"/>
      <c r="B4" s="51" t="s">
        <v>136</v>
      </c>
      <c r="C4" s="48">
        <v>394662.55</v>
      </c>
      <c r="D4" s="48">
        <v>414590.29</v>
      </c>
      <c r="E4" s="48">
        <v>521341.27</v>
      </c>
      <c r="F4" s="48">
        <f>558057.29</f>
        <v>558057.29</v>
      </c>
      <c r="G4" s="48">
        <f>657046.63</f>
        <v>657046.63</v>
      </c>
      <c r="H4" s="48">
        <f>568910.4</f>
        <v>568910.4</v>
      </c>
      <c r="I4" s="49">
        <f>SUM(C4:H4)</f>
        <v>3114608.4299999997</v>
      </c>
      <c r="J4" s="132"/>
    </row>
    <row r="5" spans="1:10" ht="76.150000000000006" customHeight="1" x14ac:dyDescent="0.25">
      <c r="A5" s="127">
        <v>2023</v>
      </c>
      <c r="B5" s="51" t="s">
        <v>135</v>
      </c>
      <c r="C5" s="48">
        <v>0</v>
      </c>
      <c r="D5" s="48">
        <f>90053.9+56972.38+265625.01</f>
        <v>412651.29000000004</v>
      </c>
      <c r="E5" s="48">
        <v>0</v>
      </c>
      <c r="F5" s="48">
        <v>0</v>
      </c>
      <c r="G5" s="48">
        <v>0</v>
      </c>
      <c r="H5" s="48">
        <v>0</v>
      </c>
      <c r="I5" s="49">
        <f>SUM(C5:H5)</f>
        <v>412651.29000000004</v>
      </c>
      <c r="J5" s="131">
        <f>I5+I6+I7</f>
        <v>3227154.07</v>
      </c>
    </row>
    <row r="6" spans="1:10" ht="66" customHeight="1" x14ac:dyDescent="0.25">
      <c r="A6" s="129"/>
      <c r="B6" s="51" t="s">
        <v>136</v>
      </c>
      <c r="C6" s="50">
        <f>13982.54+110564.78+313849.15</f>
        <v>438396.47000000003</v>
      </c>
      <c r="D6" s="50">
        <v>0</v>
      </c>
      <c r="E6" s="50">
        <f>111671.62+353875.87</f>
        <v>465547.49</v>
      </c>
      <c r="F6" s="50">
        <v>576734.81999999995</v>
      </c>
      <c r="G6" s="50">
        <v>752647.65</v>
      </c>
      <c r="H6" s="50">
        <v>537374.36</v>
      </c>
      <c r="I6" s="52">
        <f>SUM(C6:H6)</f>
        <v>2770700.7899999996</v>
      </c>
      <c r="J6" s="132"/>
    </row>
    <row r="7" spans="1:10" ht="63" x14ac:dyDescent="0.25">
      <c r="A7" s="130"/>
      <c r="B7" s="51" t="s">
        <v>139</v>
      </c>
      <c r="C7" s="54">
        <f>3243.28+40558.71</f>
        <v>43801.99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5">
        <f>SUM(C7:H7)</f>
        <v>43801.99</v>
      </c>
      <c r="J7" s="132"/>
    </row>
  </sheetData>
  <mergeCells count="4">
    <mergeCell ref="A3:A4"/>
    <mergeCell ref="A5:A7"/>
    <mergeCell ref="J3:J4"/>
    <mergeCell ref="J5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6FF9-6225-4691-AC85-A11789B631AD}">
  <dimension ref="A1:J20"/>
  <sheetViews>
    <sheetView tabSelected="1" workbookViewId="0">
      <selection activeCell="B5" sqref="B5"/>
    </sheetView>
  </sheetViews>
  <sheetFormatPr defaultRowHeight="15" x14ac:dyDescent="0.25"/>
  <cols>
    <col min="1" max="1" width="5" customWidth="1"/>
    <col min="2" max="2" width="31.85546875" customWidth="1"/>
    <col min="3" max="3" width="16.7109375" customWidth="1"/>
    <col min="4" max="4" width="17.140625" customWidth="1"/>
    <col min="10" max="10" width="11.42578125" bestFit="1" customWidth="1"/>
  </cols>
  <sheetData>
    <row r="1" spans="1:10" ht="15.75" x14ac:dyDescent="0.25">
      <c r="A1" s="135" t="s">
        <v>128</v>
      </c>
      <c r="B1" s="135"/>
      <c r="C1" s="60"/>
      <c r="D1" s="60"/>
    </row>
    <row r="2" spans="1:10" ht="15.75" x14ac:dyDescent="0.25">
      <c r="A2" s="135"/>
      <c r="B2" s="135"/>
      <c r="C2" s="60"/>
      <c r="D2" s="60"/>
    </row>
    <row r="3" spans="1:10" ht="15.75" x14ac:dyDescent="0.25">
      <c r="A3" s="60"/>
      <c r="B3" s="60"/>
      <c r="C3" s="61">
        <v>44742</v>
      </c>
      <c r="D3" s="61">
        <v>45107</v>
      </c>
    </row>
    <row r="4" spans="1:10" ht="21.6" customHeight="1" x14ac:dyDescent="0.25">
      <c r="A4" s="133" t="s">
        <v>126</v>
      </c>
      <c r="B4" s="53" t="s">
        <v>106</v>
      </c>
      <c r="C4" s="62">
        <v>11159</v>
      </c>
      <c r="D4" s="62">
        <v>11641</v>
      </c>
      <c r="E4" s="20"/>
      <c r="F4" s="20"/>
      <c r="G4" s="20"/>
      <c r="H4" s="20"/>
      <c r="I4" s="20"/>
      <c r="J4" s="20"/>
    </row>
    <row r="5" spans="1:10" ht="15.75" x14ac:dyDescent="0.25">
      <c r="A5" s="133"/>
      <c r="B5" s="63" t="s">
        <v>107</v>
      </c>
      <c r="C5" s="64">
        <v>32356</v>
      </c>
      <c r="D5" s="64">
        <v>32861</v>
      </c>
      <c r="E5" s="25"/>
      <c r="F5" s="25"/>
      <c r="G5" s="25"/>
      <c r="H5" s="25"/>
      <c r="I5" s="25"/>
      <c r="J5" s="26"/>
    </row>
    <row r="6" spans="1:10" ht="15" customHeight="1" x14ac:dyDescent="0.25">
      <c r="A6" s="133"/>
      <c r="B6" s="53" t="s">
        <v>116</v>
      </c>
      <c r="C6" s="65">
        <v>10538721</v>
      </c>
      <c r="D6" s="65">
        <v>11726334</v>
      </c>
    </row>
    <row r="7" spans="1:10" ht="15.75" x14ac:dyDescent="0.25">
      <c r="A7" s="133"/>
      <c r="B7" s="63" t="s">
        <v>117</v>
      </c>
      <c r="C7" s="66">
        <v>1228173</v>
      </c>
      <c r="D7" s="66">
        <v>1416999</v>
      </c>
    </row>
    <row r="8" spans="1:10" ht="15.75" x14ac:dyDescent="0.25">
      <c r="A8" s="133"/>
      <c r="B8" s="53" t="s">
        <v>118</v>
      </c>
      <c r="C8" s="65">
        <f>SUM(C6:C7)</f>
        <v>11766894</v>
      </c>
      <c r="D8" s="65">
        <f>SUM(D6:D7)</f>
        <v>13143333</v>
      </c>
    </row>
    <row r="9" spans="1:10" ht="15.75" x14ac:dyDescent="0.25">
      <c r="A9" s="133"/>
      <c r="B9" s="63" t="s">
        <v>119</v>
      </c>
      <c r="C9" s="66">
        <v>5234871</v>
      </c>
      <c r="D9" s="66">
        <v>5844558</v>
      </c>
    </row>
    <row r="10" spans="1:10" ht="15.75" x14ac:dyDescent="0.25">
      <c r="A10" s="133"/>
      <c r="B10" s="53" t="s">
        <v>120</v>
      </c>
      <c r="C10" s="65">
        <v>609072</v>
      </c>
      <c r="D10" s="65">
        <v>706467</v>
      </c>
    </row>
    <row r="11" spans="1:10" ht="15.75" x14ac:dyDescent="0.25">
      <c r="A11" s="133"/>
      <c r="B11" s="67" t="s">
        <v>121</v>
      </c>
      <c r="C11" s="68">
        <f>SUM(C9:C10)</f>
        <v>5843943</v>
      </c>
      <c r="D11" s="68">
        <f>SUM(D9:D10)</f>
        <v>6551025</v>
      </c>
    </row>
    <row r="12" spans="1:10" ht="15" customHeight="1" x14ac:dyDescent="0.25">
      <c r="A12" s="133" t="s">
        <v>125</v>
      </c>
      <c r="B12" s="53" t="s">
        <v>108</v>
      </c>
      <c r="C12" s="65">
        <v>10985523.08</v>
      </c>
      <c r="D12" s="65">
        <v>12155952.710000001</v>
      </c>
    </row>
    <row r="13" spans="1:10" ht="15.75" x14ac:dyDescent="0.25">
      <c r="A13" s="133"/>
      <c r="B13" s="63" t="s">
        <v>109</v>
      </c>
      <c r="C13" s="66">
        <v>1207308.8999999999</v>
      </c>
      <c r="D13" s="66">
        <v>1401402</v>
      </c>
    </row>
    <row r="14" spans="1:10" ht="15.75" x14ac:dyDescent="0.25">
      <c r="A14" s="133"/>
      <c r="B14" s="53" t="s">
        <v>112</v>
      </c>
      <c r="C14" s="65">
        <f>SUM(C12:C13)</f>
        <v>12192831.98</v>
      </c>
      <c r="D14" s="65">
        <f>SUM(D12:D13)</f>
        <v>13557354.710000001</v>
      </c>
    </row>
    <row r="15" spans="1:10" ht="15.75" x14ac:dyDescent="0.25">
      <c r="A15" s="134"/>
      <c r="B15" s="63" t="s">
        <v>110</v>
      </c>
      <c r="C15" s="66">
        <v>5277316.38</v>
      </c>
      <c r="D15" s="66">
        <v>5749540.1100000003</v>
      </c>
    </row>
    <row r="16" spans="1:10" ht="15.75" x14ac:dyDescent="0.25">
      <c r="A16" s="134"/>
      <c r="B16" s="53" t="s">
        <v>111</v>
      </c>
      <c r="C16" s="65">
        <v>579508.30000000005</v>
      </c>
      <c r="D16" s="65">
        <v>699406</v>
      </c>
    </row>
    <row r="17" spans="1:4" ht="15.75" x14ac:dyDescent="0.25">
      <c r="A17" s="134"/>
      <c r="B17" s="67" t="s">
        <v>113</v>
      </c>
      <c r="C17" s="68">
        <f>SUM(C15:C16)</f>
        <v>5856824.6799999997</v>
      </c>
      <c r="D17" s="68">
        <f>SUM(D15:D16)</f>
        <v>6448946.1100000003</v>
      </c>
    </row>
    <row r="18" spans="1:4" ht="15.75" x14ac:dyDescent="0.25">
      <c r="A18" s="70" t="s">
        <v>127</v>
      </c>
      <c r="B18" s="53" t="s">
        <v>114</v>
      </c>
      <c r="C18" s="65">
        <f>3266.1+88909.25+15655.15+782.06+1655.26+286.06+12951.9+433.66+'KOSZTY ZGO'!P21+'KOSZTY PUK'!M19</f>
        <v>5508237.2739999993</v>
      </c>
      <c r="D18" s="65">
        <v>5937633.7999999998</v>
      </c>
    </row>
    <row r="19" spans="1:4" ht="15.75" x14ac:dyDescent="0.25">
      <c r="A19" s="60"/>
      <c r="B19" s="53" t="s">
        <v>115</v>
      </c>
      <c r="C19" s="69">
        <f>C11-C18</f>
        <v>335705.72600000072</v>
      </c>
      <c r="D19" s="69">
        <f>D11-D18</f>
        <v>613391.20000000019</v>
      </c>
    </row>
    <row r="20" spans="1:4" ht="15.75" x14ac:dyDescent="0.25">
      <c r="A20" s="60"/>
      <c r="B20" s="53" t="s">
        <v>122</v>
      </c>
      <c r="C20" s="69">
        <f>C17-C18</f>
        <v>348587.40600000042</v>
      </c>
      <c r="D20" s="69">
        <f>D17-D18</f>
        <v>511312.31000000052</v>
      </c>
    </row>
  </sheetData>
  <mergeCells count="3">
    <mergeCell ref="A12:A17"/>
    <mergeCell ref="A4:A11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Masa 2022_2023</vt:lpstr>
      <vt:lpstr>KOSZTY PUK</vt:lpstr>
      <vt:lpstr>KOSZTY ZGO</vt:lpstr>
      <vt:lpstr>Zagospodarowanie</vt:lpstr>
      <vt:lpstr>Deklaracje-budżet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rlucka</dc:creator>
  <cp:lastModifiedBy>rlucka</cp:lastModifiedBy>
  <cp:lastPrinted>2023-07-28T05:52:39Z</cp:lastPrinted>
  <dcterms:created xsi:type="dcterms:W3CDTF">2022-03-14T12:54:53Z</dcterms:created>
  <dcterms:modified xsi:type="dcterms:W3CDTF">2023-08-04T06:59:03Z</dcterms:modified>
</cp:coreProperties>
</file>