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7D49406A-D720-4EE9-8F56-98E57FF68058}" xr6:coauthVersionLast="47" xr6:coauthVersionMax="47" xr10:uidLastSave="{00000000-0000-0000-0000-000000000000}"/>
  <bookViews>
    <workbookView xWindow="-28800" yWindow="0" windowWidth="28800" windowHeight="15600" xr2:uid="{0E645A07-53AB-4BB8-BDE5-52F6757D466F}"/>
  </bookViews>
  <sheets>
    <sheet name="Zadania majątkow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9" i="1" l="1"/>
  <c r="C129" i="1"/>
  <c r="C45" i="1"/>
  <c r="C57" i="1"/>
  <c r="C54" i="1"/>
  <c r="C53" i="1"/>
  <c r="C41" i="1"/>
  <c r="H104" i="1"/>
  <c r="H199" i="1"/>
  <c r="C199" i="1"/>
  <c r="H181" i="1"/>
  <c r="C181" i="1"/>
  <c r="D91" i="1"/>
  <c r="E91" i="1"/>
  <c r="F91" i="1"/>
  <c r="H91" i="1"/>
  <c r="I91" i="1"/>
  <c r="J91" i="1"/>
  <c r="K91" i="1"/>
  <c r="C91" i="1"/>
  <c r="C119" i="1"/>
  <c r="C44" i="1" l="1"/>
  <c r="C58" i="1"/>
  <c r="C55" i="1"/>
  <c r="C25" i="1" l="1"/>
  <c r="H14" i="1"/>
  <c r="C14" i="1"/>
  <c r="C203" i="1" l="1"/>
  <c r="F203" i="1"/>
  <c r="H203" i="1"/>
  <c r="D36" i="1" l="1"/>
  <c r="D202" i="1"/>
  <c r="E202" i="1"/>
  <c r="F202" i="1"/>
  <c r="H202" i="1"/>
  <c r="I202" i="1"/>
  <c r="J202" i="1"/>
  <c r="K202" i="1"/>
  <c r="C202" i="1"/>
  <c r="H114" i="1" l="1"/>
  <c r="C114" i="1"/>
  <c r="F174" i="1"/>
  <c r="H174" i="1" s="1"/>
  <c r="F131" i="1"/>
  <c r="H131" i="1" s="1"/>
  <c r="C131" i="1"/>
  <c r="H36" i="1"/>
  <c r="H185" i="1"/>
  <c r="C185" i="1"/>
  <c r="C37" i="1"/>
  <c r="H37" i="1"/>
  <c r="C29" i="1"/>
  <c r="C24" i="1"/>
  <c r="H40" i="1" l="1"/>
  <c r="C52" i="1"/>
  <c r="J141" i="1"/>
  <c r="H141" i="1"/>
  <c r="H22" i="1"/>
  <c r="J22" i="1"/>
  <c r="H52" i="1" l="1"/>
  <c r="F52" i="1"/>
  <c r="H35" i="1"/>
  <c r="D35" i="1"/>
  <c r="C35" i="1"/>
  <c r="D120" i="1"/>
  <c r="H124" i="1"/>
  <c r="D124" i="1"/>
  <c r="C124" i="1"/>
  <c r="H201" i="1"/>
  <c r="D201" i="1"/>
  <c r="C201" i="1"/>
  <c r="D166" i="1"/>
  <c r="C166" i="1"/>
  <c r="D151" i="1"/>
  <c r="C151" i="1"/>
  <c r="D150" i="1"/>
  <c r="C150" i="1"/>
  <c r="D149" i="1"/>
  <c r="C149" i="1"/>
  <c r="D148" i="1"/>
  <c r="C148" i="1"/>
  <c r="D147" i="1"/>
  <c r="C147" i="1"/>
  <c r="D119" i="1"/>
  <c r="D121" i="1"/>
  <c r="C121" i="1"/>
  <c r="D38" i="1"/>
  <c r="C38" i="1"/>
  <c r="H177" i="1" l="1"/>
  <c r="D177" i="1"/>
  <c r="C177" i="1"/>
  <c r="D194" i="1" l="1"/>
  <c r="D192" i="1"/>
  <c r="D176" i="1"/>
  <c r="D171" i="1"/>
  <c r="K99" i="1"/>
  <c r="J99" i="1"/>
  <c r="I99" i="1"/>
  <c r="H99" i="1"/>
  <c r="E99" i="1"/>
  <c r="D99" i="1"/>
  <c r="C99" i="1"/>
  <c r="F90" i="1"/>
  <c r="D37" i="1"/>
  <c r="D15" i="1"/>
  <c r="D14" i="1"/>
  <c r="H176" i="1"/>
  <c r="C176" i="1"/>
  <c r="C90" i="1" l="1"/>
  <c r="C68" i="1"/>
  <c r="C194" i="1" l="1"/>
  <c r="F192" i="1"/>
  <c r="C192" i="1"/>
  <c r="H15" i="1"/>
  <c r="F15" i="1"/>
  <c r="C15" i="1"/>
  <c r="C163" i="1" l="1"/>
  <c r="D186" i="1"/>
  <c r="D172" i="1"/>
  <c r="D167" i="1"/>
  <c r="D165" i="1"/>
  <c r="D164" i="1"/>
  <c r="D163" i="1"/>
  <c r="D145" i="1"/>
  <c r="D143" i="1"/>
  <c r="D102" i="1"/>
  <c r="D136" i="1"/>
  <c r="E136" i="1"/>
  <c r="F136" i="1"/>
  <c r="H136" i="1"/>
  <c r="I136" i="1"/>
  <c r="J136" i="1"/>
  <c r="K136" i="1"/>
  <c r="D134" i="1"/>
  <c r="E134" i="1"/>
  <c r="F134" i="1"/>
  <c r="H134" i="1"/>
  <c r="I134" i="1"/>
  <c r="J134" i="1"/>
  <c r="K134" i="1"/>
  <c r="C134" i="1"/>
  <c r="C136" i="1"/>
  <c r="C207" i="1" l="1"/>
  <c r="C191" i="1"/>
  <c r="C123" i="1"/>
  <c r="C120" i="1"/>
  <c r="C56" i="1" l="1"/>
  <c r="C46" i="1"/>
  <c r="C42" i="1"/>
  <c r="C102" i="1"/>
  <c r="D140" i="1" l="1"/>
  <c r="E140" i="1"/>
  <c r="F140" i="1"/>
  <c r="H140" i="1"/>
  <c r="I140" i="1"/>
  <c r="J140" i="1"/>
  <c r="K140" i="1"/>
  <c r="C140" i="1"/>
  <c r="C145" i="1"/>
  <c r="C172" i="1"/>
  <c r="C167" i="1"/>
  <c r="C165" i="1"/>
  <c r="C164" i="1"/>
  <c r="C152" i="1"/>
  <c r="C153" i="1"/>
  <c r="C154" i="1"/>
  <c r="C155" i="1"/>
  <c r="C156" i="1"/>
  <c r="C157" i="1"/>
  <c r="C158" i="1"/>
  <c r="C159" i="1"/>
  <c r="C160" i="1"/>
  <c r="C161" i="1"/>
  <c r="C162" i="1"/>
  <c r="C168" i="1"/>
  <c r="C169" i="1"/>
  <c r="C170" i="1"/>
  <c r="D21" i="1"/>
  <c r="E21" i="1"/>
  <c r="F21" i="1"/>
  <c r="H21" i="1"/>
  <c r="I21" i="1"/>
  <c r="J21" i="1"/>
  <c r="K21" i="1"/>
  <c r="C21" i="1"/>
  <c r="D111" i="1" l="1"/>
  <c r="E111" i="1"/>
  <c r="H111" i="1"/>
  <c r="I111" i="1"/>
  <c r="J111" i="1"/>
  <c r="K111" i="1"/>
  <c r="C111" i="1"/>
  <c r="F60" i="1"/>
  <c r="H158" i="1"/>
  <c r="H160" i="1"/>
  <c r="C139" i="1"/>
  <c r="C138" i="1" s="1"/>
  <c r="D138" i="1"/>
  <c r="E138" i="1"/>
  <c r="F138" i="1"/>
  <c r="H138" i="1"/>
  <c r="I138" i="1"/>
  <c r="J138" i="1"/>
  <c r="K138" i="1"/>
  <c r="L138" i="1"/>
  <c r="F80" i="1"/>
  <c r="H48" i="1"/>
  <c r="C48" i="1"/>
  <c r="D207" i="1" l="1"/>
  <c r="D162" i="1"/>
  <c r="D159" i="1"/>
  <c r="C40" i="1"/>
  <c r="F79" i="1"/>
  <c r="F172" i="1"/>
  <c r="H172" i="1" s="1"/>
  <c r="F171" i="1" l="1"/>
  <c r="H171" i="1" s="1"/>
  <c r="D128" i="1"/>
  <c r="E128" i="1"/>
  <c r="F128" i="1"/>
  <c r="H128" i="1"/>
  <c r="I128" i="1"/>
  <c r="J128" i="1"/>
  <c r="K128" i="1"/>
  <c r="C128" i="1"/>
  <c r="F126" i="1"/>
  <c r="D109" i="1"/>
  <c r="E109" i="1"/>
  <c r="F109" i="1"/>
  <c r="H109" i="1"/>
  <c r="I109" i="1"/>
  <c r="J109" i="1"/>
  <c r="K109" i="1"/>
  <c r="C109" i="1"/>
  <c r="F47" i="1"/>
  <c r="F59" i="1"/>
  <c r="F46" i="1"/>
  <c r="H89" i="1" l="1"/>
  <c r="D89" i="1"/>
  <c r="E89" i="1"/>
  <c r="I89" i="1"/>
  <c r="J89" i="1"/>
  <c r="K89" i="1"/>
  <c r="C89" i="1"/>
  <c r="H27" i="1"/>
  <c r="C27" i="1"/>
  <c r="F89" i="1" l="1"/>
  <c r="F45" i="1"/>
  <c r="F44" i="1"/>
  <c r="F43" i="1"/>
  <c r="F42" i="1"/>
  <c r="C108" i="1"/>
  <c r="F108" i="1"/>
  <c r="D105" i="1"/>
  <c r="E105" i="1"/>
  <c r="H105" i="1"/>
  <c r="I105" i="1"/>
  <c r="J105" i="1"/>
  <c r="K105" i="1"/>
  <c r="C105" i="1"/>
  <c r="F143" i="1" l="1"/>
  <c r="F142" i="1" s="1"/>
  <c r="D142" i="1"/>
  <c r="E142" i="1"/>
  <c r="H142" i="1"/>
  <c r="I142" i="1"/>
  <c r="J142" i="1"/>
  <c r="K142" i="1"/>
  <c r="C142" i="1"/>
  <c r="F208" i="1" l="1"/>
  <c r="F106" i="1"/>
  <c r="F105" i="1" s="1"/>
  <c r="F125" i="1"/>
  <c r="E117" i="1" l="1"/>
  <c r="I117" i="1"/>
  <c r="J117" i="1"/>
  <c r="K117" i="1"/>
  <c r="D23" i="1"/>
  <c r="E23" i="1"/>
  <c r="H23" i="1"/>
  <c r="I23" i="1"/>
  <c r="J23" i="1"/>
  <c r="K23" i="1"/>
  <c r="C23" i="1"/>
  <c r="D18" i="1"/>
  <c r="E18" i="1"/>
  <c r="H18" i="1"/>
  <c r="I18" i="1"/>
  <c r="J18" i="1"/>
  <c r="K18" i="1"/>
  <c r="C18" i="1"/>
  <c r="D13" i="1"/>
  <c r="E13" i="1"/>
  <c r="H13" i="1"/>
  <c r="I13" i="1"/>
  <c r="J13" i="1"/>
  <c r="K13" i="1"/>
  <c r="C13" i="1"/>
  <c r="F124" i="1"/>
  <c r="F177" i="1"/>
  <c r="J37" i="1"/>
  <c r="F168" i="1"/>
  <c r="H168" i="1" s="1"/>
  <c r="I107" i="1"/>
  <c r="J107" i="1"/>
  <c r="K107" i="1"/>
  <c r="H107" i="1"/>
  <c r="D107" i="1"/>
  <c r="E107" i="1"/>
  <c r="F107" i="1"/>
  <c r="C107" i="1"/>
  <c r="D117" i="1" l="1"/>
  <c r="D55" i="1"/>
  <c r="D39" i="1"/>
  <c r="D183" i="1"/>
  <c r="F210" i="1" l="1"/>
  <c r="C183" i="1" l="1"/>
  <c r="F215" i="1" l="1"/>
  <c r="F213" i="1"/>
  <c r="F209" i="1"/>
  <c r="F211" i="1"/>
  <c r="F205" i="1"/>
  <c r="F204" i="1" s="1"/>
  <c r="E204" i="1"/>
  <c r="F196" i="1" l="1"/>
  <c r="F197" i="1"/>
  <c r="F194" i="1"/>
  <c r="F189" i="1"/>
  <c r="E188" i="1"/>
  <c r="F186" i="1"/>
  <c r="F187" i="1"/>
  <c r="F185" i="1"/>
  <c r="F180" i="1"/>
  <c r="F178" i="1"/>
  <c r="F176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H159" i="1" s="1"/>
  <c r="F160" i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9" i="1"/>
  <c r="H169" i="1" s="1"/>
  <c r="F170" i="1"/>
  <c r="H170" i="1" s="1"/>
  <c r="F173" i="1"/>
  <c r="H173" i="1" s="1"/>
  <c r="F147" i="1"/>
  <c r="E146" i="1"/>
  <c r="F119" i="1"/>
  <c r="F120" i="1"/>
  <c r="F121" i="1"/>
  <c r="H121" i="1" s="1"/>
  <c r="F122" i="1"/>
  <c r="F123" i="1"/>
  <c r="F127" i="1"/>
  <c r="F114" i="1"/>
  <c r="F113" i="1"/>
  <c r="E101" i="1"/>
  <c r="F100" i="1"/>
  <c r="F99" i="1" s="1"/>
  <c r="F98" i="1"/>
  <c r="F97" i="1" s="1"/>
  <c r="E97" i="1"/>
  <c r="F87" i="1"/>
  <c r="F88" i="1"/>
  <c r="F86" i="1"/>
  <c r="F84" i="1"/>
  <c r="F83" i="1"/>
  <c r="F33" i="1"/>
  <c r="F34" i="1"/>
  <c r="F36" i="1"/>
  <c r="F37" i="1"/>
  <c r="F38" i="1"/>
  <c r="F39" i="1"/>
  <c r="F40" i="1"/>
  <c r="F41" i="1"/>
  <c r="F48" i="1"/>
  <c r="F55" i="1"/>
  <c r="F56" i="1"/>
  <c r="F57" i="1"/>
  <c r="F58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E31" i="1"/>
  <c r="F27" i="1"/>
  <c r="F26" i="1" s="1"/>
  <c r="F30" i="1"/>
  <c r="F29" i="1"/>
  <c r="E28" i="1"/>
  <c r="E26" i="1"/>
  <c r="F24" i="1"/>
  <c r="F20" i="1"/>
  <c r="F19" i="1"/>
  <c r="F16" i="1"/>
  <c r="F17" i="1"/>
  <c r="F18" i="1" l="1"/>
  <c r="F23" i="1"/>
  <c r="F28" i="1"/>
  <c r="I26" i="1"/>
  <c r="J26" i="1"/>
  <c r="K26" i="1"/>
  <c r="D28" i="1"/>
  <c r="H28" i="1"/>
  <c r="I28" i="1"/>
  <c r="J28" i="1"/>
  <c r="K28" i="1"/>
  <c r="C28" i="1"/>
  <c r="D26" i="1"/>
  <c r="H26" i="1"/>
  <c r="C26" i="1"/>
  <c r="D188" i="1"/>
  <c r="I188" i="1"/>
  <c r="J188" i="1"/>
  <c r="K188" i="1"/>
  <c r="H161" i="1"/>
  <c r="D161" i="1"/>
  <c r="F161" i="1" s="1"/>
  <c r="D204" i="1" l="1"/>
  <c r="H204" i="1"/>
  <c r="I204" i="1"/>
  <c r="J204" i="1"/>
  <c r="K204" i="1"/>
  <c r="C204" i="1"/>
  <c r="D206" i="1"/>
  <c r="E206" i="1"/>
  <c r="I206" i="1"/>
  <c r="J206" i="1"/>
  <c r="K206" i="1"/>
  <c r="D97" i="1"/>
  <c r="H97" i="1"/>
  <c r="I97" i="1"/>
  <c r="J97" i="1"/>
  <c r="K97" i="1"/>
  <c r="C97" i="1"/>
  <c r="F35" i="1"/>
  <c r="I103" i="1" l="1"/>
  <c r="J103" i="1"/>
  <c r="K103" i="1"/>
  <c r="D104" i="1"/>
  <c r="H103" i="1" s="1"/>
  <c r="H217" i="1" l="1"/>
  <c r="H216" i="1" s="1"/>
  <c r="K216" i="1"/>
  <c r="F216" i="1"/>
  <c r="E216" i="1"/>
  <c r="D216" i="1"/>
  <c r="C216" i="1"/>
  <c r="F207" i="1"/>
  <c r="C206" i="1"/>
  <c r="F201" i="1"/>
  <c r="F199" i="1"/>
  <c r="F191" i="1"/>
  <c r="F183" i="1"/>
  <c r="H183" i="1" s="1"/>
  <c r="K182" i="1"/>
  <c r="J182" i="1"/>
  <c r="I182" i="1"/>
  <c r="E182" i="1"/>
  <c r="D182" i="1"/>
  <c r="C182" i="1"/>
  <c r="F181" i="1"/>
  <c r="F146" i="1" s="1"/>
  <c r="H157" i="1"/>
  <c r="H156" i="1"/>
  <c r="H155" i="1"/>
  <c r="H154" i="1"/>
  <c r="H153" i="1"/>
  <c r="H152" i="1"/>
  <c r="H151" i="1"/>
  <c r="H150" i="1"/>
  <c r="H149" i="1"/>
  <c r="H148" i="1"/>
  <c r="H147" i="1"/>
  <c r="K146" i="1"/>
  <c r="J146" i="1"/>
  <c r="I146" i="1"/>
  <c r="D146" i="1"/>
  <c r="C146" i="1"/>
  <c r="F145" i="1"/>
  <c r="F144" i="1" s="1"/>
  <c r="C144" i="1"/>
  <c r="K144" i="1"/>
  <c r="J144" i="1"/>
  <c r="I144" i="1"/>
  <c r="E144" i="1"/>
  <c r="D144" i="1"/>
  <c r="F133" i="1"/>
  <c r="H133" i="1" s="1"/>
  <c r="H132" i="1" s="1"/>
  <c r="K132" i="1"/>
  <c r="J132" i="1"/>
  <c r="I132" i="1"/>
  <c r="E132" i="1"/>
  <c r="D132" i="1"/>
  <c r="C132" i="1"/>
  <c r="H122" i="1"/>
  <c r="C122" i="1"/>
  <c r="H120" i="1"/>
  <c r="H119" i="1"/>
  <c r="F118" i="1"/>
  <c r="F117" i="1" s="1"/>
  <c r="C118" i="1"/>
  <c r="F111" i="1"/>
  <c r="F104" i="1"/>
  <c r="F103" i="1" s="1"/>
  <c r="E103" i="1"/>
  <c r="D103" i="1"/>
  <c r="C103" i="1"/>
  <c r="F102" i="1"/>
  <c r="C101" i="1"/>
  <c r="K101" i="1"/>
  <c r="J101" i="1"/>
  <c r="I101" i="1"/>
  <c r="D101" i="1"/>
  <c r="H41" i="1"/>
  <c r="H38" i="1"/>
  <c r="H34" i="1"/>
  <c r="F32" i="1"/>
  <c r="C32" i="1"/>
  <c r="K31" i="1"/>
  <c r="J31" i="1"/>
  <c r="I31" i="1"/>
  <c r="D31" i="1"/>
  <c r="F14" i="1"/>
  <c r="F13" i="1" s="1"/>
  <c r="D218" i="1" l="1"/>
  <c r="K218" i="1"/>
  <c r="I218" i="1"/>
  <c r="E218" i="1"/>
  <c r="J218" i="1"/>
  <c r="C117" i="1"/>
  <c r="F188" i="1"/>
  <c r="H102" i="1"/>
  <c r="H101" i="1" s="1"/>
  <c r="F101" i="1"/>
  <c r="C188" i="1"/>
  <c r="H32" i="1"/>
  <c r="H31" i="1" s="1"/>
  <c r="F31" i="1"/>
  <c r="H207" i="1"/>
  <c r="H206" i="1" s="1"/>
  <c r="F206" i="1"/>
  <c r="H118" i="1"/>
  <c r="H117" i="1" s="1"/>
  <c r="H145" i="1"/>
  <c r="H144" i="1" s="1"/>
  <c r="H146" i="1"/>
  <c r="C31" i="1"/>
  <c r="H182" i="1"/>
  <c r="F182" i="1"/>
  <c r="F132" i="1"/>
  <c r="H191" i="1"/>
  <c r="H188" i="1" s="1"/>
  <c r="F218" i="1" l="1"/>
  <c r="H218" i="1"/>
  <c r="C218" i="1"/>
</calcChain>
</file>

<file path=xl/sharedStrings.xml><?xml version="1.0" encoding="utf-8"?>
<sst xmlns="http://schemas.openxmlformats.org/spreadsheetml/2006/main" count="510" uniqueCount="342">
  <si>
    <t>Załącznik nr 7</t>
  </si>
  <si>
    <t>l.p.</t>
  </si>
  <si>
    <t>dział rozdział paragraf</t>
  </si>
  <si>
    <t>łączne koszty finansowe</t>
  </si>
  <si>
    <t>plan 2022r.</t>
  </si>
  <si>
    <t>zmiana planu</t>
  </si>
  <si>
    <t>plan po zmianach</t>
  </si>
  <si>
    <t>opis zadania</t>
  </si>
  <si>
    <t xml:space="preserve"> źródła finansowania</t>
  </si>
  <si>
    <t>Uwagi</t>
  </si>
  <si>
    <t>dochody                 własne jst</t>
  </si>
  <si>
    <t>środki wymienione
w art. 5 ust. 1 pkt 2 i 3 u.f.p.</t>
  </si>
  <si>
    <t>nazwa zadania inwestycyjnego</t>
  </si>
  <si>
    <t>dział 010 rozdział 01043 par. 6050</t>
  </si>
  <si>
    <t>x</t>
  </si>
  <si>
    <t>1.</t>
  </si>
  <si>
    <t xml:space="preserve">WPF </t>
  </si>
  <si>
    <t>dział 600 rozdział 60013 par. 6050</t>
  </si>
  <si>
    <t>5.</t>
  </si>
  <si>
    <t>Budowa obustronnych przystanków komunikacyjnych przy drodze wojewódzkiej DW 431 - Mosina ul. Konopnickiej i  Krosinko ul. Wiejska.</t>
  </si>
  <si>
    <t>6.</t>
  </si>
  <si>
    <t>dział 600 rozdział 60014 par. 6050</t>
  </si>
  <si>
    <t>7.</t>
  </si>
  <si>
    <t>dział 600 rozdział 60014 par. 6300</t>
  </si>
  <si>
    <t>2.</t>
  </si>
  <si>
    <t>dział 600 rozdział 60016 par. 6050</t>
  </si>
  <si>
    <t>3.</t>
  </si>
  <si>
    <t>Projekt budowy tzw. Czerwonki (korekta drogi wojewódzkiej).</t>
  </si>
  <si>
    <t>WPF</t>
  </si>
  <si>
    <t>Budowa ul. Różanej i Łąkowej w Pecnej</t>
  </si>
  <si>
    <t>Opracowanie projektu połączenia ulicy Konopnickiej z ulicą Strzelecką wraz z mostem na Kanale Mosińskim</t>
  </si>
  <si>
    <t xml:space="preserve">Budowa ulicy Kanałowej i Łaziennej - II etap ulica Kanałowa w Mosinie </t>
  </si>
  <si>
    <t>Projekt i budowa ul. Mieszka I i etapu II (łącznik) w Mosinie</t>
  </si>
  <si>
    <t>Opracowanie projektu chodnika Żabinko 150 m</t>
  </si>
  <si>
    <t>dział 700 rozdział 70005 par. 6050</t>
  </si>
  <si>
    <t>4.</t>
  </si>
  <si>
    <t>dział 700 rozdział 70005 par. 6060</t>
  </si>
  <si>
    <t>Wykupy gruntów</t>
  </si>
  <si>
    <t>Wykupy gruntów pod drogi i na podstawie spec. ustawy o drogach z mocy prawa.</t>
  </si>
  <si>
    <t>dział 750 rozdział 75023 par.6050, par. 6057, par. 6059</t>
  </si>
  <si>
    <t>Rozwój elektronicznych usług publicznych w Gminie Luboń, Mosina i Włoszakowice</t>
  </si>
  <si>
    <t>dział 750 rozdział 75023 par.6060</t>
  </si>
  <si>
    <t>Zakup i modernizacja sprzętu informatycznego</t>
  </si>
  <si>
    <t>Rozbudowa systemu teleinformatycznego, rozbudowa infrastruktury informatycznej.</t>
  </si>
  <si>
    <t>dział 754 rozdział 75495 par. 6050</t>
  </si>
  <si>
    <t>8.</t>
  </si>
  <si>
    <t>dział 801 rozdział 80101  par. 6050</t>
  </si>
  <si>
    <t>9.</t>
  </si>
  <si>
    <t>10.</t>
  </si>
  <si>
    <t>11.</t>
  </si>
  <si>
    <t>12.</t>
  </si>
  <si>
    <r>
      <t>Opracowanie i/lub aktualizacja dokumentacji projektowej przy szkołach</t>
    </r>
    <r>
      <rPr>
        <strike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Gminy Mosina</t>
    </r>
  </si>
  <si>
    <t>dział 851 rozdział 85195 par.6300</t>
  </si>
  <si>
    <t>13.</t>
  </si>
  <si>
    <t>Dotacja celowa dla Powiatu Poznańskiego</t>
  </si>
  <si>
    <t>14.</t>
  </si>
  <si>
    <t>dział 900 rozdział 90005 par. 6230</t>
  </si>
  <si>
    <t>16.</t>
  </si>
  <si>
    <t>dział 900 rozdział 90015 par. 6050</t>
  </si>
  <si>
    <t>Budowa oświetlenia drogowego w Dymaczewie Starym ul. Nad Stawem</t>
  </si>
  <si>
    <t>Budowa oświetlenia drogowego w Borkowicach ul. Łubinowa, Słonecznikowa, Chabrowa, Makowa</t>
  </si>
  <si>
    <t>Projekt oświetlenia drogowego w Dymaczewie Starym, ul. Leśna</t>
  </si>
  <si>
    <t>Projekt oświetlenia drogowego w Dymaczewie Starym, ul. Dereniowa</t>
  </si>
  <si>
    <t>Projekt oświetlenia drogowego w Krosinku, ul. Magnoliowa</t>
  </si>
  <si>
    <t>Opłaty przyłaczeniowe wynikające z zawartych umów z Enea na wykonanie przyłączy elektroenergetycznych</t>
  </si>
  <si>
    <t>18.</t>
  </si>
  <si>
    <t>dział 900 rozdział 90095 par. 6050</t>
  </si>
  <si>
    <t>Skatepark</t>
  </si>
  <si>
    <t xml:space="preserve">Wykonanie projektu i budowa </t>
  </si>
  <si>
    <t>20.</t>
  </si>
  <si>
    <t>dział 921 rozdział 92109 par. 6050</t>
  </si>
  <si>
    <t>22.</t>
  </si>
  <si>
    <t>23.</t>
  </si>
  <si>
    <t xml:space="preserve">Modernizacja budynku MOK                                                      przy ul. Dworcowej </t>
  </si>
  <si>
    <t>dział 926 rozdział 92601  par. 6050</t>
  </si>
  <si>
    <t>24.</t>
  </si>
  <si>
    <t>Wentylacja i klimatyzacja w pomieszczeniach budynku OSiR w Mosinie ul. Szkolna 1</t>
  </si>
  <si>
    <t>25.</t>
  </si>
  <si>
    <t>26.</t>
  </si>
  <si>
    <t>Ogółem</t>
  </si>
  <si>
    <t xml:space="preserve">Dokumentacja projektowa dotycząca budowy obwodnicy m. Mosina w ciągu drogi wojewódzkiej nr 431 w zakresie przebudowy skrzyżowania dróg wojewódzkich nr 431 oraz 430 </t>
  </si>
  <si>
    <t>1. Wydatki realizowane w ramach Funduszu Sołeckiego</t>
  </si>
  <si>
    <t>2.Wydatki realizowane w ramach dodatkowego funduszu jednostek pomocniczych</t>
  </si>
  <si>
    <t xml:space="preserve">1. Wydatki realizowane w ramach Funduszu Sołeckiego: </t>
  </si>
  <si>
    <t>Babki-Kubalin-Głuszyna Leśna: przebudowa chodnika ul. Babicka w stronę Głuszyny załącznik nr 9, poz. 1</t>
  </si>
  <si>
    <t xml:space="preserve"> 2. Wydatki realizowane w ramach dodatkowego funduszu jednostek pomocniczych:</t>
  </si>
  <si>
    <t>1. Wydatki realizowane w ramach Funduszu Sołeckiego:</t>
  </si>
  <si>
    <t xml:space="preserve"> Krosinko-Ludwikowo: zakup i montaż kamer zewnętrznych i wewnętrznych na terenie działki 149/6 oraz w budynku świetlicy wiejskiej  załącznik nr 9, poz. 9</t>
  </si>
  <si>
    <t>Mieczewo: monitoring świetlicy i terenu wokół świetlicy załącznik nr 9, poz. 11</t>
  </si>
  <si>
    <t>2. Wydatki realizowane w ramach dodatkowego funduszu jednostek pomocniczych:</t>
  </si>
  <si>
    <t>Budowa chodnika ul. Sosnowa w Wiórku</t>
  </si>
  <si>
    <t xml:space="preserve">Wymiana przewodu kominowego </t>
  </si>
  <si>
    <t>27.</t>
  </si>
  <si>
    <t>28.</t>
  </si>
  <si>
    <t>29.</t>
  </si>
  <si>
    <t>30.</t>
  </si>
  <si>
    <t>31.</t>
  </si>
  <si>
    <t>33.</t>
  </si>
  <si>
    <t>dział 010 rozdział 01044 par. 6050</t>
  </si>
  <si>
    <t xml:space="preserve">Projekt oświetlenia terenu Glinianek od parkingu do plaży </t>
  </si>
  <si>
    <t xml:space="preserve">Budowa oświetlenia ul. Wspólnej w Dymaczewie Nowym </t>
  </si>
  <si>
    <t>Budowa oświetlenia ul. Wierzbowej i ul. Lipowej w Mieczewie</t>
  </si>
  <si>
    <t xml:space="preserve">Budowa oświetlenia drogowego w Borkowicach - boisko piłkarskie </t>
  </si>
  <si>
    <t>Projekt wraz z pozwoleniem na budowę Czerwonki</t>
  </si>
  <si>
    <t>Projekt ulicy Olchowej i Jarzynowej w Mosinie</t>
  </si>
  <si>
    <t xml:space="preserve">Projekt ul. Piaskowej w Krosinku </t>
  </si>
  <si>
    <t xml:space="preserve">Projekt ul. Skrzynka i część Góreckiej w Krosinku </t>
  </si>
  <si>
    <t xml:space="preserve">Projekt zatoki autobusowej w ul. Wspólnej                   w Dymaczewie Nowym </t>
  </si>
  <si>
    <t xml:space="preserve">Utwardzenie wjazdów z ulic przyległych do ulicy Głównej w Pecnej </t>
  </si>
  <si>
    <t>Projekt klimatyzacji Hali OSiR przy ul. Krasickiego w Mosinie - parter budynku: korytarz, recepcja</t>
  </si>
  <si>
    <t xml:space="preserve">Bezpieczeństwo na parkingu przy hali sportowej przy ul. Krasickiego </t>
  </si>
  <si>
    <t>dział 630 rozdział 63003 par. 6050</t>
  </si>
  <si>
    <t>Ożywianie turystyki wodnej i pieszej wzdłuż miejskiego odcinka Kanału Mosińskiego - koncepcja</t>
  </si>
  <si>
    <t xml:space="preserve">Rozwój sieci wodociągowej w obszarze "Majatku Rogalin" </t>
  </si>
  <si>
    <t xml:space="preserve">Projekt ciągu komunikacyjnego na Osiedlu Nowe Krosno </t>
  </si>
  <si>
    <t>Ścieżka rowerowa ul. Poznańska                                    w Daszewicach, Drużyna – Borkowice, Sasinowo-Wiórek</t>
  </si>
  <si>
    <t xml:space="preserve">Opracowanie dokumentacji południowo - wschodniej obwodnicy Mosiny - odcinek od ulicy Mocka do ulicy Śremskiej </t>
  </si>
  <si>
    <t xml:space="preserve">Opracowanie programu budowy infrastruktury drogowej na terenie gminy Mosina (założenia - wykonanie) </t>
  </si>
  <si>
    <t xml:space="preserve">Budowa ul. Budzyńskiej z odwodnieniem                         i przebudową skrzyżowania z ul. Konopnickiej (300 m) </t>
  </si>
  <si>
    <t>Projekt budowy ulicy Wczasowej w Dymaczewie Nowym</t>
  </si>
  <si>
    <t>Projekt budowy ulicy Kamioneckiej w Mieczewie</t>
  </si>
  <si>
    <t>Projekt budowy ulicy Bajera w Dymaczewie Starym</t>
  </si>
  <si>
    <t xml:space="preserve">Budowa ulicy Sienkiewicza w Mosinie </t>
  </si>
  <si>
    <t xml:space="preserve">Projekt budowy chodnika w ulicy Czwartaków,             w Mosinie </t>
  </si>
  <si>
    <t xml:space="preserve">Budowa ul. Żeromskiego w Mosinie, etap I </t>
  </si>
  <si>
    <t>Opłotowanie działki gminnej</t>
  </si>
  <si>
    <t xml:space="preserve">Opłotowanie działki gminnej przy ulicy Krosińskiej </t>
  </si>
  <si>
    <t>Budynek w Rogalinku (pracownia)</t>
  </si>
  <si>
    <t>Galeria Sztuki w Mosinie - wymiana okien</t>
  </si>
  <si>
    <t>Zakup sprzętu do pielęgnacji zieleni</t>
  </si>
  <si>
    <t xml:space="preserve">Monitoring realizowany                                                 w ramach                                                            funduszy jednostek pomocniczych  </t>
  </si>
  <si>
    <t xml:space="preserve">Współpraca z Powiatem Poznańskim - Budowa przystanku komunikacyjnego przy drodze powiatowej 2465P w Krośnie, ulica Główna </t>
  </si>
  <si>
    <t xml:space="preserve">Budowa przystanku komunikacyjnego przy drodze powiatowej 2465P w Krośnie, ulica Główna </t>
  </si>
  <si>
    <t xml:space="preserve">Modernizacja centralnego ogrzewania w Szkole Podstawowej nr 2 w Mosinie </t>
  </si>
  <si>
    <t>Wydatki realizowane w ramach dodatkowego funduszu jednostek pomocniczych: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</si>
  <si>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</si>
  <si>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</si>
  <si>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</si>
  <si>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</si>
  <si>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</si>
  <si>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</si>
  <si>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</si>
  <si>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</si>
  <si>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</si>
  <si>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</si>
  <si>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Dotacja przeznaczona na zakup sprzętu medycznego dla Szpitala w Puszczykowie</t>
  </si>
  <si>
    <t>Dotacja przeznaczona na dofinansowanie kosztów wymiany systemów ogrzewania węglowego na ekologiczne źródła ciepła</t>
  </si>
  <si>
    <t>Projekty, budowa i rozbudowa oświetlenia drogowego</t>
  </si>
  <si>
    <t xml:space="preserve">Projekt i budowa ścieżki rowerowej w pasie drogowym wzdłuż drogi powiatowej 2463P         na odcinku Mosina - Żabinko do granicy Gminy Mosina;  Radzewice: projekt chodnika; chodnik   ul. Poznańska w Czapurach, projekt chodnika Borkowice, koncepcja i projekt ścieżki pieszo - rowerowej Nowinki - Pecna  </t>
  </si>
  <si>
    <t>Budowa ul. Lema w Mosinie. Zadanie współfinansowane z Rządowego Funduszu Rozwoju Dróg</t>
  </si>
  <si>
    <t>Projekt budowy ul. Piotrowskiej i Żwirowej                    w Daszewicach na odcinku od cieku Babinki               do rzeki Kopli</t>
  </si>
  <si>
    <t>Opracowanie koncepcji odwodnienia                           dla miejscowości Mieczewo</t>
  </si>
  <si>
    <t>Zakup serwerów, oprogramowania oraz innych elementów systemu teleinformatycznego                     na potrzeby wyposażenia serwerowni w Urzędzie Miejskim w Mosinie ulica Dworcowa  (par. 6057  834.992,84 zł, par. 6059 432.351,67 zł.)</t>
  </si>
  <si>
    <t>Krajkowo - Baranowo: budowa parkingu załącznik nr 11, poz. 8</t>
  </si>
  <si>
    <t>Babki - Kubalin - Głuszyna Leśna: przebudowa chodnika ul. Babicka w stronę Głuszyny  załącznik nr 11, poz. 1</t>
  </si>
  <si>
    <t xml:space="preserve">Budowa i przebudowa przejść dla pieszych                 na terenie gminy Mosina </t>
  </si>
  <si>
    <t>Aktualizacja dokumentacji projektowej                    wraz z bilansem energetycznym dla urządzeń gazowych w SP nr 2 w Mosinie ul. Sowiniecka</t>
  </si>
  <si>
    <t>Rozbudowa budynku szkolnego</t>
  </si>
  <si>
    <t xml:space="preserve">Zabezpieczenie nieruchomości gruntowej                     w Krośnie pod obiekt edukacyjny </t>
  </si>
  <si>
    <t>Dotacja celowa na dofinansowanie modernizacji systemów grzewczych</t>
  </si>
  <si>
    <t>Budowa oświetlenia drogowego w Mosinie                 ul. Krańcowa</t>
  </si>
  <si>
    <t>Budowa oświetlenia drogowego w Krosinku               ul. Piaskowa i Malinowa</t>
  </si>
  <si>
    <t>Budowa oświetlenia drogowego w Sowinkach            ul. Miętowa</t>
  </si>
  <si>
    <t>Projekt oświetlenia drogowego w Krosinku                   ul. Czeremchowa</t>
  </si>
  <si>
    <t xml:space="preserve">Projekt oświetlenia drogowego w Rogalinku               ul. Kręta </t>
  </si>
  <si>
    <t>Projekt oświetlenia drogowego ul. Polna                       w Czapurach</t>
  </si>
  <si>
    <t xml:space="preserve">Budowa oświetlenia ulicznego ul. Gajowej                       w Mosinie </t>
  </si>
  <si>
    <t xml:space="preserve">Budowa oświetlenia ul. Stryjeńskiej                              i ul. Malczewskiego w Mosinie </t>
  </si>
  <si>
    <t>Budowa oświetlenia drogowego ul. Mosińskiej            w Borkowicach</t>
  </si>
  <si>
    <t>Osiedle Nr 3: poprawa stanu przestrzeni wspólnych na Osiedlu wraz z rozbudową miejsca rekreacyjno - wypoczynkowego przeznaczonego dla mieszkańców - załącznik nr 11, poz. 24</t>
  </si>
  <si>
    <t>Osiedle Nr 5: realizacja projektu na zagospodarowanie skweru na placu po sklepie spożywczym przy ulicy Krosińskiej - załącznik nr 11, poz. 26</t>
  </si>
  <si>
    <t>Projekt adaptacji pomieszczenia po kotłowni                   w budynku pracowni artystycznej w Rogalinku</t>
  </si>
  <si>
    <t>Projekt i wykonanie instalacji fotowoltaicznej                 w budynkach świetlic wiejskich w Żabinku, Mieczewie i Borkowicach</t>
  </si>
  <si>
    <t>Bolesławiec - Borkowice: zagospodarowanie terenu wokół świetlicy wiejskiej - załącznik nr 9, poz. 3</t>
  </si>
  <si>
    <t>Mieczewo: rewitalizacja świetlicy i jej otoczenia  - załącznik nr 11, poz. 11</t>
  </si>
  <si>
    <t xml:space="preserve">Czapury: przygotowanie i ułożenie bezpiecznej nawierzchni na placu zabaw - działka nr 49/7                         w Czapurach -  załącznik nr 9, poz. 4 </t>
  </si>
  <si>
    <t>Czapury: przygotowanie i ułożenie bezpiecznej nawierzchni na placu zabaw - działka nr 49/7                 w Czapurach - załącznik nr 11, poz. 4</t>
  </si>
  <si>
    <t xml:space="preserve">Zakup profesjonalnej kosiarki samojezdnej                           z przeznaczeniem do pielęgnacji trawy                              na boiskach sportowych administrowanych                   przez OSiR </t>
  </si>
  <si>
    <t>Opracowanie dokumentacji technicznej budowy pochylni przeznaczonej dla osób niepełnosprawnych do budynku Mosińskiego Ośrodka Kultury oraz remontu elewacji                      z dostosowaniem do obowiązujacych warunków technicznych jakim powinny odpowiadać budynki i ich usytuaowanie wraz z projektem instalacji fotowoltaicznej oraz modernizacja systemu sygnalizacji i wykrywania pożaru, oświetlenia awaryjnego i ewakuacyjnego zgodnie                       z postanowieniem WPSP</t>
  </si>
  <si>
    <t xml:space="preserve">Sowinki - Sowiniec: realizacja oświetlenia drogowego ul. Nad Lasem w Sowinkach - kontynuacja  - załącznik nr 9, poz. 18   </t>
  </si>
  <si>
    <t>Sołectwo Sowinki - Sowiniec: realizacja oświetlenia drogowego ul. Miętowa w Sowinkach - kontynuacja - załącznik nr 11, poz. 18</t>
  </si>
  <si>
    <t>Sołectwo Krosinko - Ludwikowo: zagospodarowanie i wyposażenie działek nr 115 oraz 70/13 (obręb Krosinko) w małą architekturę oraz nasadzenie krzewów i drzew  - załącznik                nr 11, poz. 9</t>
  </si>
  <si>
    <t xml:space="preserve">Wydatki majątkowe na rok 2022 </t>
  </si>
  <si>
    <t>dział 926 rozdział 92601  par. 6060</t>
  </si>
  <si>
    <t>Wykonanie dróg rowerowych łączących funkcjonujące drogi rowerowe z dworcem kolejowym w Mosinie</t>
  </si>
  <si>
    <t xml:space="preserve">Kontynuacja renowacji Galerii Sztuki w Mosinie - wymiana okien </t>
  </si>
  <si>
    <t>Pecna - Konstantynowo - modernizacja sanitariatów w budynku świetlicy - załącznik nr 9, poz. 13.</t>
  </si>
  <si>
    <t>Projekt i budowa lamp solarnych przy drodze dojazdowej do cmentarza w Krośnie</t>
  </si>
  <si>
    <t xml:space="preserve">Projekt i budowa lampy solarnej: Mieczewo                                    ul. Kasztanowa/Ogrodowa </t>
  </si>
  <si>
    <t>Dostawa i montaż obiektów małej architektury na terenie Gminy Mosina</t>
  </si>
  <si>
    <t>Dostawa i montaż obiektów małej architektury na terenie placów zabaw w Drużynie, Czapurach i Osiedlu Nr 6 w Mosinie - kontynuacja zadania z 2021</t>
  </si>
  <si>
    <t xml:space="preserve">Budowa ulic Kazimierza Odnowiciela, Bolesława Krzywoustego, Kazimierza Wielkiego, (bez nazwy) odwodnienie oraz ul. Kopernika, Kasztanowa, ul. Chopina (frag.) </t>
  </si>
  <si>
    <t xml:space="preserve">Zabezpieczenie nieruchomości gruntowej w Krośnie </t>
  </si>
  <si>
    <t>Rozbudowa Szkoły Podstawowej                    w Krosinku</t>
  </si>
  <si>
    <t xml:space="preserve">                                                                        Projekty i budowa utwardzenia ulic wraz z odwodnieniem</t>
  </si>
  <si>
    <t xml:space="preserve">Ożywianie turystyki wodnej                     i pieszej wzdłuż miejskiego odcinka Kanału Mosińskiego </t>
  </si>
  <si>
    <t>Rozwój infrastruktury lekkoatletycznej na terenie gminy Mosina</t>
  </si>
  <si>
    <t>Wydatki realizowane                         przez jednostki pomocnicze                w ramach przydzielonych funduszy</t>
  </si>
  <si>
    <t>Wydatki realizowane                         przez jednostki pomocnicze                  w ramach przydzielonych funduszy</t>
  </si>
  <si>
    <t xml:space="preserve">Klimatyzacja hali OSiR                           ul. Krasickiego w Mosinie </t>
  </si>
  <si>
    <t xml:space="preserve">Bezpieczeństwo na parkingu           przy hali sportowej                                                                                                                                                                                   przy ul. Krasickiego  </t>
  </si>
  <si>
    <t>Wydatki realizowane                          przez jednostki pomocnicze            w ramach przydzielonych funduszy</t>
  </si>
  <si>
    <t>System fotowoltaiczny                           na budynkach świetlic</t>
  </si>
  <si>
    <t>Szkoła Podstawowa nr 2                       w Mosinie - centralne ogrzewanie</t>
  </si>
  <si>
    <t>Termomodernizacja budynku Szkoły Podstawowej                                w Daszewicach                                     wraz z odwodnieniem</t>
  </si>
  <si>
    <t>Współpraca z Województwem Wielkopolskim - opracowanie dokumentacji projektowej                  wraz z uzyskaniem decyzji środowiskowej dla obwodnicy m. Mosina (korekta drogi wojewódzkiej)</t>
  </si>
  <si>
    <t xml:space="preserve">Rozwój sieci wodociągowej                   w obszarze "Majatku Rogalin" </t>
  </si>
  <si>
    <t xml:space="preserve">środki                             z Rządowego Funduszu Inwestycji Lokalnych </t>
  </si>
  <si>
    <t>środki pochodzące
z innych  źródeł, w tym Rządowy Fundusz "Polski Ład"</t>
  </si>
  <si>
    <t>Projekt kanalizacji sanitarnej na terenie: Dymaczewa Starego, Dymaczewa Nowego, Borkowic, Bolesławca”</t>
  </si>
  <si>
    <t>Projekt kanalizacji sanitarnej na terenie: Rogalina, Świątnik, Radzewic, Mieczewa</t>
  </si>
  <si>
    <t>Budowa sieci kanalizacji sanitarnych na terenie Gminy Mosina</t>
  </si>
  <si>
    <t>Współpraca z Województwem Wielkopolskim - Budowa obusronnych przystanków komunikacyjnych przy drodze wojewódzkiej DW 431 - Mosina  ul. Konopnickiej i  Krosinko ul. Wiejska</t>
  </si>
  <si>
    <t>Projekt oświetlenia drogowego na ul. Sikorskiego w Rogalinku - dz. nr 132/5 i 132/11</t>
  </si>
  <si>
    <t>Rozbudowa SP w Krosinku o salę gimnastyczną i część dydaktyczno - wychowawczą</t>
  </si>
  <si>
    <t>15.</t>
  </si>
  <si>
    <t>21.</t>
  </si>
  <si>
    <t>dział 754 rozdział 75412 par.6230</t>
  </si>
  <si>
    <t>Dotacja dla Ochotniczej Straży Pożarnej</t>
  </si>
  <si>
    <t>Dotacja na zakup pojazdu ratowniczo - gaśniczego dla OSP Radzewice</t>
  </si>
  <si>
    <t>44.</t>
  </si>
  <si>
    <t xml:space="preserve">Projekt oświetlenia drogowego ul. Jesionowej           w Drużynie i ul. Klonowej w Nowinkach </t>
  </si>
  <si>
    <t xml:space="preserve">Budowa ul. Dembowskiego w Mosinie  </t>
  </si>
  <si>
    <t>Sołectwo Sasinowo: budowa oświetlenia drogowego w Sasionowie ul. Leśna - kontynuacja</t>
  </si>
  <si>
    <t>Krosinko - Ludwikowo: zagospodarowanie terenu wokół świetlicy wiejskiej - kwota 4.000,00 zł - załącznik nr 9,  poz. 9.</t>
  </si>
  <si>
    <t>Krosinko - Ludwikowo: Modernizacja pomieszczeń piwniczych w świetlicy wiejskiej  - załącznik nr 9,  poz. 9.</t>
  </si>
  <si>
    <t xml:space="preserve"> Krajkowo - Baranowo: projekt i budowa parkingu            i chodnika  załącznik nr 9, poz. 8     </t>
  </si>
  <si>
    <t>Budowa sieci wodociągowej w m. Sowiniec w zakresie nadbudowania studni wodomierzowej na wjeździe do miejscowości od strony Mosiny wraz z budową sieci wodociągowej w m. Sowiniec</t>
  </si>
  <si>
    <t>Projekt chodnika (ciąg pieszo-rowerowy) w ul. Sosnowej w miejscowości Pecna w terenie zabudowanym do granicy lasu</t>
  </si>
  <si>
    <t>Budowa przystanków komunikacyjnych przy drodze powiatowej: Świątniki ulica Śremska, Świątniki, Dymaczewo Stare ul. Stokrotkowa i  Borkowice</t>
  </si>
  <si>
    <t>Współpraca z Powiatem Poznańskim - dotacja celowa na pomoc finansową dla Powiatu Poznańskiego</t>
  </si>
  <si>
    <r>
      <t>Współpraca z Powiatem Poznańskim - Budowa przystanków komunikacyjnych przy drodze powiatowej w Światnikach, Dymaczewie</t>
    </r>
    <r>
      <rPr>
        <strike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Starym i Borkowicach</t>
    </r>
  </si>
  <si>
    <t>Projekt ul. Sikorskiego i ul. Podgórnej w Rogalinku</t>
  </si>
  <si>
    <t>Projekt i budowa odwodnienia ul. Podgórnej i obszaru ul. Mostowej w Rogalinku</t>
  </si>
  <si>
    <t xml:space="preserve">Daszewice - kanalizacja deszczowa gminnego odcinka ul. Poznańskiej przy wspólpracy z Aquanet i ZDP Poznań </t>
  </si>
  <si>
    <t xml:space="preserve">Projekt budowy promenady sportowo - rekreacyjnej wzdłuż kanału Mosińskiego wraz z kładką pieszo - rowerową na wysokości ul. Harcerskiej </t>
  </si>
  <si>
    <t>Projekt ulicy Nowej w Rogalinie (dojazd do byłego PGR)</t>
  </si>
  <si>
    <t xml:space="preserve">Projekt chodnika (ciąg pieszo-rowerowy) w ul. Cichej w Drużynie </t>
  </si>
  <si>
    <t>Zmiana istniejącego przejścia dla pieszych na skrzyżowaniu ul. I. Krasickiego z ul. Strzelecką na przejście z azylem</t>
  </si>
  <si>
    <t xml:space="preserve">Projekt oświetlenia drogowego w Rogalinie os. Pod Dębami ul. Bukowa </t>
  </si>
  <si>
    <t>Sołectwo Rogalin: budowa oświetlenia zewnętrznego w Rogalinie działka nr 207 - boisko trawiaste"</t>
  </si>
  <si>
    <t>Projekt oświetlenia drogowego w Drużynie - odcinek przy drodze powiatowej od dworca PKP do ul. Krańcowej</t>
  </si>
  <si>
    <t>Modernizacja boiska przy Szkole Podstawowej w Krośnie</t>
  </si>
  <si>
    <t>Szkoła Podstawowa w Krośnie - modernizacja boiska</t>
  </si>
  <si>
    <t>Budowa sieci wodociągowych               na terenie Gminy Mosina</t>
  </si>
  <si>
    <t>Budowa sieci wodociągowych                    na terenie Gminy Mosina</t>
  </si>
  <si>
    <t xml:space="preserve">Koncepcja zaopatrzenia w wodę dla wsi Sasinowo, Rogalinek, Rogalin, Świątniki, Radzewice i Mieczewo </t>
  </si>
  <si>
    <t xml:space="preserve">Przyłącze wodociągowe do budynku świetlicy wiejskiej w Sowinkach </t>
  </si>
  <si>
    <t>Wykonanie przyłącza wodociągowego do budynku świetlicy wiejskiej w Sowinkach</t>
  </si>
  <si>
    <t>Opracowanie koncepcji i dokumentacji projektowej dla przedłużenia przejścia pod torami w km 146,023 linii kolejowej E59 na stacji Mosina</t>
  </si>
  <si>
    <t xml:space="preserve">Rozbudowa SP w Rogalinie z budową sali gimnastycznej wraz z infrastrukturą towarzyszącą </t>
  </si>
  <si>
    <t>Rozbudowa SP w Rogalinie z budową sali gimnastycznej wraz z infrastrukturą towarzyszącą - rozliczenie końcowe</t>
  </si>
  <si>
    <t>dział 852 rozdział 85203 par.6060</t>
  </si>
  <si>
    <t xml:space="preserve">Środowiskowy Dom Samopomocy - pierwsze wyposażenie </t>
  </si>
  <si>
    <t xml:space="preserve">OSiR ul. Szkolna w Mosinie - kotary </t>
  </si>
  <si>
    <t>dział 900 rozdział 90004 par. 6060</t>
  </si>
  <si>
    <t xml:space="preserve">Zakup kosiarki (traktorka) do koszenia trawy </t>
  </si>
  <si>
    <t>Osiedle Nr 3: zakup kosiarki (traktorka) na potrzeby utrzymania terenów zielonych - załącznik nr 11, poz. 24</t>
  </si>
  <si>
    <t xml:space="preserve">Wykonanie i montaż kotar w sali głównej OSiR ul. Szkolna w Mosinie  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</si>
  <si>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</si>
  <si>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</si>
  <si>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</si>
  <si>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</si>
  <si>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</si>
  <si>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</si>
  <si>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</si>
  <si>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</si>
  <si>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</si>
  <si>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</si>
  <si>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</si>
  <si>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 xml:space="preserve">Projekt organizacji ruchu i budowa przejścia dla pieszych z utwardzeniem pobocza w ul. Szerokiej przy sklepie spożywczym w Mieczewie </t>
  </si>
  <si>
    <t>Wykonanie wentylacji i klimatyzacji                                       w pomieszczeniach OSiR w Mosinie</t>
  </si>
  <si>
    <t>56.</t>
  </si>
  <si>
    <t>Budowa świetlicy kontenerowej w miejscowości Dymaczewo Stare</t>
  </si>
  <si>
    <t>Budowa świetlicy kontenerowej wraz z utwardzeniem podłoża w miejscowości Dymaczewo Stare</t>
  </si>
  <si>
    <t>dział 600 rozdział 60017 par. 6050</t>
  </si>
  <si>
    <t>Projekty i budowa utwardzenia dród wewnętrznych wraz z odwodnieniem</t>
  </si>
  <si>
    <t>Projekt drogi pasowej ul. Łubinowa w Borkowicach</t>
  </si>
  <si>
    <t>Projekt ulicy Mokrej w Mosinie</t>
  </si>
  <si>
    <t>Projekt utwardzenia z odwodnieniem ulic Bolesława Śmiałego, Bolesława Chrobrego i Kazimierza Jagiellończyka w Mosinie</t>
  </si>
  <si>
    <t>dział 754 rozdział 75416 par.6050</t>
  </si>
  <si>
    <t>Obiekt magazynowo - garażowy</t>
  </si>
  <si>
    <t>Projekt techniczy pomieszczenia magazynowo - garażowego dla Straży Miejskiej przy Remizie Strażackiej w Mosinie, ul. Śremska</t>
  </si>
  <si>
    <t>Szkoła Podstawowa w Czapurach - rozbudowa</t>
  </si>
  <si>
    <t>dział 801 rozdział 80101  par. 6060</t>
  </si>
  <si>
    <t>Zakup urządzenia do utrzymania czystości na sali sportowej Szkoły Podstawowej w Rogalinie</t>
  </si>
  <si>
    <t xml:space="preserve">Szkoła Podstawowa w Rogalinku - pierwsze wyposażenie </t>
  </si>
  <si>
    <t xml:space="preserve">Budowa oświetlenia ul. Nad Lasem w Sowinkach </t>
  </si>
  <si>
    <t>Projekt budowy ulicy Dolnej w Daszewicach</t>
  </si>
  <si>
    <t>Wiata piknikowa przy świetlicy wiejskiej w Borkowicach</t>
  </si>
  <si>
    <t>Modernizacja źródła ciepła                      i instalacji c.o. w budynkach oświatowych Gminy Mosina                      i termomodernizacja</t>
  </si>
  <si>
    <t>Szkoła Podstawowa w Rogalinie - zakup urządzenia czyszczącego</t>
  </si>
  <si>
    <t xml:space="preserve">Niskoemisyjny tabor transportowy </t>
  </si>
  <si>
    <t>Zakup 4 autobusów niskoemisyjnych dla komunikacji gminnej Gminy Mosina</t>
  </si>
  <si>
    <t>Projekt chodnika ul. Dębowa w Nowinkach.</t>
  </si>
  <si>
    <t>Projekt i budowa ul. Tylnej w Krośnie.</t>
  </si>
  <si>
    <t>Adaptacja pomieszczeń budynku gminnego u zbiegu ulic Wiosny Ludów i Dembowskiego (Środowiskowy Dom Samopomocy)</t>
  </si>
  <si>
    <t>Adaptacja pomieszczeń budynku gminnego u zbiegu ul. Wiosny Ludów i Dembowskiego w Mosinie (ŚDS).</t>
  </si>
  <si>
    <t>Budowa sieci wodociągowych i kanalizacji sanitarnych w mieście.</t>
  </si>
  <si>
    <t>dział 900 rozdział 90001 par. 6050</t>
  </si>
  <si>
    <t>Aktualizacja dokumentacji projektowej budowy sieci kanalizacji sanitarnej w odnodze ul. Sowinieckiej w Mosinie (w kierunku ZUK) w związku ze zmianami powstałymi podczas przebudowy ul. Sowinieckiej.</t>
  </si>
  <si>
    <t>59.</t>
  </si>
  <si>
    <t>60.</t>
  </si>
  <si>
    <t>Projekt ciągu komunikacyjnego na Osiedlu Nowe Krosno, etap II - rejon ulicy Krosińskiej i Sremskiej w Mosinie i Krośnie wraz z uzyskaniem decyzji administracyjnych umożliwiających realizację robót budowlanych, które obejmuje opracowanie projektowe dla ulic: Śremskiej, Wybickiego, Słonecznej, Sosnowej, Klonowej, Podgórnej, Czwartaków, Szpakowej oraz Kwiatowej</t>
  </si>
  <si>
    <t>Wykonanie studni Ф1000 z osadnikiem i wypustem ulicznym C250 kN w ul. Różańskiego w Mosinie wraz z podłączeniem do kanalizacji deszczowej w ul. Wodnej w Mosinie</t>
  </si>
  <si>
    <t>Wykonanie projektu modernizacji podziemnego przejścia dla pieszych w ul. Sowinieckiej w Mosinie</t>
  </si>
  <si>
    <t xml:space="preserve">Monitoring świetlicy i terenu wokół świetlicy w miejscowości Mieczewo </t>
  </si>
  <si>
    <t xml:space="preserve">Wykonanie monitoringu świetlicy i terenu wokół świetlicy w miejscowości Mieczewo </t>
  </si>
  <si>
    <t xml:space="preserve">Projekt przebudowy drogi dojazdowej od ul. Pożegowskiej w Mosinie do parkingu przy wieży widokowej </t>
  </si>
  <si>
    <t>61.</t>
  </si>
  <si>
    <t>Zakup trzech śmieciarek do odbioru i przewozu odpadów napędzanych silnikami o niskiej emisji spalin</t>
  </si>
  <si>
    <t>62.</t>
  </si>
  <si>
    <t>Projekty i budowa utwardzenia ulic wraz z odwodnieniem - Rządowy Fundusz Polski Ład: Program Inwestycji Strategicznych</t>
  </si>
  <si>
    <t>dział 852 rozdział 85203 par.6050</t>
  </si>
  <si>
    <t>Zakup wyposażenia dla Srodowiskowego Domu Samopomocy ul. Dembowksiego, Mosina</t>
  </si>
  <si>
    <t>Projekt i budowa wiaty piknikowej przy świetlicy wiejksiej w Borkowicach</t>
  </si>
  <si>
    <t>Projekt i budowa oświetlenia 2 lamp solarnych w Żabinku przy Altance Edukacyjno - Przyrodniczej</t>
  </si>
  <si>
    <t>Budowa/przebudowa przystanków autobusowych w poszczególnych miejscowościach - peron autobusowy w Bolesławcu</t>
  </si>
  <si>
    <t>Rozbudowa SP w Rogalinku                                 wraz z odwodnieniem</t>
  </si>
  <si>
    <t>17.</t>
  </si>
  <si>
    <t>19.</t>
  </si>
  <si>
    <t>dział 900 rozdział 90002 par. 6060</t>
  </si>
  <si>
    <t>dział 600 rozdział 60004 par. 6060</t>
  </si>
  <si>
    <t xml:space="preserve">Modernizacja oświetlenia ulicznego na terenie Gminy Mosina </t>
  </si>
  <si>
    <t>63.</t>
  </si>
  <si>
    <t>dział 921 rozdział 92110 par. 6220</t>
  </si>
  <si>
    <t>Mieczewo: zakup kontenera na narzędzia  - załącznik nr 11, poz. 12</t>
  </si>
  <si>
    <t xml:space="preserve">Koncepcja/projekt rozbudowy lub budowy obiektu edukacyjnego w Czapurach </t>
  </si>
  <si>
    <t>64.</t>
  </si>
  <si>
    <t>Projekt i wykonanie modernizacji oświetlenia ulicznego na terenie Gminy Mosina</t>
  </si>
  <si>
    <t>do uchwały Nr …../…./22</t>
  </si>
  <si>
    <t xml:space="preserve">Rady Miejskiej w Mosinie z dnia 30.11.2022 r. </t>
  </si>
  <si>
    <t>Projekty i budowa utwardzenia dród wewnętrznych wraz z odwodnieniem realizowane przez jednostki pomocnicze</t>
  </si>
  <si>
    <t>Radzewice: wykonanie projektów zjazdów w ulice: Wodną, Długą (vis a vis ul. Wiśniowej)                          i na radzewicką przystań  załącznik nr 11, poz. 14</t>
  </si>
  <si>
    <t>Rogalinek: przebudowa zjazdu w ul. Świerkową w Rogalinku załącznik nr 9, poz. 16</t>
  </si>
  <si>
    <t>57.</t>
  </si>
  <si>
    <t xml:space="preserve">1.Wydatki realizowane w ramach Funduszu Sołeckiego: </t>
  </si>
  <si>
    <t>Rogalinek: przebudowa zjazdu w ul. Świerkową w Rogalinku załącznik nr 11, poz. 16</t>
  </si>
  <si>
    <t>Osiedle Nr 2: instalacja 2 lamp przy placu zabaw ul. Czajkowskiego w Mosinie - załącznik nr 11, poz. 23</t>
  </si>
  <si>
    <t>Zakup wyposażenia dla Szkoły Podstawowej w Rogalinku - meble na wymiar i sprzęt multymedilny</t>
  </si>
  <si>
    <t xml:space="preserve">Zakup wyposażenia dla Szkoły Podstawowej w Rogalinku - meble gotowe </t>
  </si>
  <si>
    <t>Szkoła Podstawowa w Rogalinku - pierwsze wyposażenie  - meble na wymiar i sprzęt multimedialny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</si>
</sst>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7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6"/>
      <name val="Arial CE"/>
      <family val="2"/>
      <charset val="238"/>
    </font>
    <font>
      <b/>
      <sz val="6"/>
      <color theme="1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trike/>
      <sz val="7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7"/>
      <name val="Arial CE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19" fillId="0" borderId="0"/>
  </cellStyleXfs>
  <cellXfs count="24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  <protection locked="0"/>
    </xf>
    <xf numFmtId="4" fontId="1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 applyProtection="1">
      <alignment vertical="center"/>
      <protection locked="0"/>
    </xf>
    <xf numFmtId="164" fontId="14" fillId="3" borderId="1" xfId="0" applyNumberFormat="1" applyFont="1" applyFill="1" applyBorder="1" applyAlignment="1" applyProtection="1">
      <alignment vertical="center"/>
      <protection locked="0"/>
    </xf>
    <xf numFmtId="4" fontId="14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/>
      <protection locked="0"/>
    </xf>
    <xf numFmtId="4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4" fillId="3" borderId="2" xfId="0" applyNumberFormat="1" applyFont="1" applyFill="1" applyBorder="1" applyAlignment="1" applyProtection="1">
      <alignment vertical="center"/>
      <protection locked="0"/>
    </xf>
    <xf numFmtId="164" fontId="14" fillId="3" borderId="2" xfId="0" applyNumberFormat="1" applyFont="1" applyFill="1" applyBorder="1" applyAlignment="1" applyProtection="1">
      <alignment vertical="center"/>
      <protection locked="0"/>
    </xf>
    <xf numFmtId="4" fontId="17" fillId="2" borderId="1" xfId="0" applyNumberFormat="1" applyFont="1" applyFill="1" applyBorder="1" applyAlignment="1" applyProtection="1">
      <alignment vertical="center"/>
      <protection locked="0"/>
    </xf>
    <xf numFmtId="4" fontId="12" fillId="2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14" fillId="0" borderId="1" xfId="0" applyNumberFormat="1" applyFont="1" applyBorder="1" applyAlignment="1" applyProtection="1">
      <alignment vertical="center"/>
      <protection locked="0"/>
    </xf>
    <xf numFmtId="164" fontId="14" fillId="0" borderId="1" xfId="0" applyNumberFormat="1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4" fillId="0" borderId="8" xfId="0" applyNumberFormat="1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4" fontId="14" fillId="3" borderId="8" xfId="0" applyNumberFormat="1" applyFont="1" applyFill="1" applyBorder="1" applyAlignment="1" applyProtection="1">
      <alignment vertical="center"/>
      <protection locked="0"/>
    </xf>
    <xf numFmtId="4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 applyProtection="1">
      <alignment horizontal="left" vertical="center" wrapText="1"/>
      <protection locked="0"/>
    </xf>
    <xf numFmtId="4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/>
      <protection locked="0"/>
    </xf>
    <xf numFmtId="4" fontId="14" fillId="0" borderId="1" xfId="0" applyNumberFormat="1" applyFont="1" applyBorder="1" applyAlignment="1" applyProtection="1">
      <alignment horizontal="left" vertical="center" wrapText="1"/>
      <protection locked="0"/>
    </xf>
    <xf numFmtId="4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4" fontId="14" fillId="0" borderId="1" xfId="2" applyNumberFormat="1" applyFont="1" applyBorder="1" applyAlignment="1" applyProtection="1">
      <alignment vertical="center"/>
      <protection locked="0"/>
    </xf>
    <xf numFmtId="4" fontId="14" fillId="0" borderId="1" xfId="2" applyNumberFormat="1" applyFont="1" applyBorder="1" applyAlignment="1" applyProtection="1">
      <alignment horizontal="left" vertical="center" wrapText="1"/>
      <protection locked="0"/>
    </xf>
    <xf numFmtId="4" fontId="15" fillId="0" borderId="1" xfId="0" applyNumberFormat="1" applyFont="1" applyBorder="1" applyAlignment="1" applyProtection="1">
      <alignment vertical="center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14" fillId="3" borderId="1" xfId="2" applyNumberFormat="1" applyFont="1" applyFill="1" applyBorder="1" applyAlignment="1" applyProtection="1">
      <alignment vertical="center"/>
      <protection locked="0"/>
    </xf>
    <xf numFmtId="4" fontId="15" fillId="3" borderId="1" xfId="0" applyNumberFormat="1" applyFont="1" applyFill="1" applyBorder="1" applyAlignment="1" applyProtection="1">
      <alignment vertical="center"/>
      <protection locked="0"/>
    </xf>
    <xf numFmtId="4" fontId="14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vertical="center" wrapText="1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12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4" fontId="14" fillId="3" borderId="10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4" fontId="14" fillId="0" borderId="1" xfId="0" applyNumberFormat="1" applyFont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4" fontId="14" fillId="3" borderId="2" xfId="0" applyNumberFormat="1" applyFont="1" applyFill="1" applyBorder="1" applyAlignment="1" applyProtection="1">
      <alignment horizontal="right" vertical="center"/>
      <protection locked="0"/>
    </xf>
    <xf numFmtId="4" fontId="12" fillId="2" borderId="2" xfId="0" applyNumberFormat="1" applyFont="1" applyFill="1" applyBorder="1" applyAlignment="1" applyProtection="1">
      <alignment horizontal="right" vertical="center"/>
      <protection locked="0"/>
    </xf>
    <xf numFmtId="4" fontId="14" fillId="2" borderId="2" xfId="0" applyNumberFormat="1" applyFont="1" applyFill="1" applyBorder="1" applyAlignment="1" applyProtection="1">
      <alignment horizontal="right"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164" fontId="14" fillId="0" borderId="2" xfId="0" applyNumberFormat="1" applyFont="1" applyBorder="1" applyAlignment="1" applyProtection="1">
      <alignment vertical="center"/>
      <protection locked="0"/>
    </xf>
    <xf numFmtId="0" fontId="21" fillId="0" borderId="0" xfId="0" applyFont="1"/>
    <xf numFmtId="0" fontId="14" fillId="3" borderId="12" xfId="0" applyFont="1" applyFill="1" applyBorder="1" applyAlignment="1" applyProtection="1">
      <alignment horizontal="left" wrapText="1"/>
      <protection locked="0"/>
    </xf>
    <xf numFmtId="164" fontId="14" fillId="3" borderId="1" xfId="0" applyNumberFormat="1" applyFont="1" applyFill="1" applyBorder="1" applyAlignment="1" applyProtection="1">
      <alignment horizontal="right" vertical="center"/>
      <protection locked="0"/>
    </xf>
    <xf numFmtId="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8" xfId="0" applyNumberFormat="1" applyFont="1" applyFill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" fontId="14" fillId="2" borderId="1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vertical="center" wrapText="1"/>
      <protection locked="0"/>
    </xf>
    <xf numFmtId="4" fontId="14" fillId="3" borderId="5" xfId="0" applyNumberFormat="1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4" fontId="14" fillId="3" borderId="11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justify" vertical="center"/>
    </xf>
    <xf numFmtId="4" fontId="14" fillId="2" borderId="1" xfId="0" applyNumberFormat="1" applyFont="1" applyFill="1" applyBorder="1" applyAlignment="1" applyProtection="1">
      <alignment horizontal="right" vertical="center"/>
      <protection locked="0"/>
    </xf>
    <xf numFmtId="4" fontId="12" fillId="3" borderId="1" xfId="0" applyNumberFormat="1" applyFont="1" applyFill="1" applyBorder="1" applyAlignment="1" applyProtection="1">
      <alignment horizontal="right" vertical="center"/>
      <protection locked="0"/>
    </xf>
    <xf numFmtId="0" fontId="23" fillId="3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 applyProtection="1">
      <alignment vertical="center" wrapText="1"/>
      <protection locked="0"/>
    </xf>
    <xf numFmtId="4" fontId="1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>
      <alignment vertical="center" wrapText="1"/>
    </xf>
    <xf numFmtId="4" fontId="25" fillId="0" borderId="0" xfId="0" applyNumberFormat="1" applyFont="1"/>
    <xf numFmtId="0" fontId="0" fillId="3" borderId="0" xfId="0" applyFill="1"/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8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4" fontId="14" fillId="3" borderId="1" xfId="1" applyFont="1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" fontId="14" fillId="3" borderId="1" xfId="2" applyNumberFormat="1" applyFont="1" applyFill="1" applyBorder="1" applyAlignment="1" applyProtection="1">
      <alignment horizontal="left" vertical="center" wrapText="1"/>
      <protection locked="0"/>
    </xf>
    <xf numFmtId="4" fontId="2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164" fontId="14" fillId="3" borderId="5" xfId="0" applyNumberFormat="1" applyFont="1" applyFill="1" applyBorder="1" applyAlignment="1" applyProtection="1">
      <alignment vertical="center"/>
      <protection locked="0"/>
    </xf>
    <xf numFmtId="4" fontId="14" fillId="3" borderId="5" xfId="0" applyNumberFormat="1" applyFont="1" applyFill="1" applyBorder="1" applyAlignment="1" applyProtection="1">
      <alignment vertical="center" wrapText="1"/>
      <protection locked="0"/>
    </xf>
    <xf numFmtId="4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23" fillId="3" borderId="10" xfId="0" applyFont="1" applyFill="1" applyBorder="1" applyAlignment="1">
      <alignment vertical="center" wrapText="1"/>
    </xf>
    <xf numFmtId="4" fontId="1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4" fontId="26" fillId="0" borderId="0" xfId="0" applyNumberFormat="1" applyFont="1"/>
    <xf numFmtId="4" fontId="14" fillId="4" borderId="8" xfId="0" applyNumberFormat="1" applyFont="1" applyFill="1" applyBorder="1" applyAlignment="1" applyProtection="1">
      <alignment vertical="center"/>
      <protection locked="0"/>
    </xf>
    <xf numFmtId="4" fontId="14" fillId="4" borderId="1" xfId="0" applyNumberFormat="1" applyFont="1" applyFill="1" applyBorder="1" applyAlignment="1" applyProtection="1">
      <alignment vertical="center"/>
      <protection locked="0"/>
    </xf>
    <xf numFmtId="164" fontId="14" fillId="4" borderId="1" xfId="0" applyNumberFormat="1" applyFont="1" applyFill="1" applyBorder="1" applyAlignment="1" applyProtection="1">
      <alignment vertical="center"/>
      <protection locked="0"/>
    </xf>
    <xf numFmtId="0" fontId="23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4" fontId="14" fillId="4" borderId="1" xfId="0" applyNumberFormat="1" applyFont="1" applyFill="1" applyBorder="1" applyAlignment="1" applyProtection="1">
      <alignment horizontal="right" vertical="center"/>
      <protection locked="0"/>
    </xf>
    <xf numFmtId="4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4" fontId="14" fillId="4" borderId="1" xfId="0" applyNumberFormat="1" applyFont="1" applyFill="1" applyBorder="1" applyAlignment="1" applyProtection="1">
      <alignment vertical="center" wrapText="1"/>
      <protection locked="0"/>
    </xf>
    <xf numFmtId="0" fontId="23" fillId="4" borderId="0" xfId="0" applyFont="1" applyFill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4" fontId="15" fillId="4" borderId="1" xfId="0" applyNumberFormat="1" applyFont="1" applyFill="1" applyBorder="1" applyAlignment="1" applyProtection="1">
      <alignment horizontal="right" vertical="center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4" xfId="0" applyFont="1" applyFill="1" applyBorder="1" applyAlignment="1" applyProtection="1">
      <alignment vertical="center" wrapText="1"/>
      <protection locked="0"/>
    </xf>
    <xf numFmtId="4" fontId="14" fillId="4" borderId="2" xfId="0" applyNumberFormat="1" applyFont="1" applyFill="1" applyBorder="1" applyAlignment="1" applyProtection="1">
      <alignment vertical="center"/>
      <protection locked="0"/>
    </xf>
    <xf numFmtId="164" fontId="14" fillId="4" borderId="2" xfId="0" applyNumberFormat="1" applyFont="1" applyFill="1" applyBorder="1" applyAlignment="1" applyProtection="1">
      <alignment vertical="center"/>
      <protection locked="0"/>
    </xf>
    <xf numFmtId="4" fontId="14" fillId="4" borderId="2" xfId="0" applyNumberFormat="1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left" vertical="center" wrapText="1"/>
      <protection locked="0"/>
    </xf>
    <xf numFmtId="4" fontId="14" fillId="4" borderId="1" xfId="2" applyNumberFormat="1" applyFont="1" applyFill="1" applyBorder="1" applyAlignment="1" applyProtection="1">
      <alignment vertical="center"/>
      <protection locked="0"/>
    </xf>
    <xf numFmtId="4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4" fontId="15" fillId="4" borderId="1" xfId="0" applyNumberFormat="1" applyFont="1" applyFill="1" applyBorder="1" applyAlignment="1" applyProtection="1">
      <alignment vertical="center"/>
      <protection locked="0"/>
    </xf>
    <xf numFmtId="4" fontId="2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4" borderId="1" xfId="0" applyNumberFormat="1" applyFont="1" applyFill="1" applyBorder="1" applyAlignment="1" applyProtection="1">
      <alignment horizontal="left" wrapText="1"/>
      <protection locked="0"/>
    </xf>
    <xf numFmtId="4" fontId="1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4" fontId="14" fillId="4" borderId="1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4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4" fontId="12" fillId="2" borderId="11" xfId="0" applyNumberFormat="1" applyFont="1" applyFill="1" applyBorder="1" applyAlignment="1">
      <alignment horizontal="left" vertical="center"/>
    </xf>
    <xf numFmtId="4" fontId="12" fillId="2" borderId="12" xfId="0" applyNumberFormat="1" applyFont="1" applyFill="1" applyBorder="1" applyAlignment="1">
      <alignment horizontal="left" vertical="center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>
      <alignment horizontal="left" vertical="center"/>
    </xf>
    <xf numFmtId="0" fontId="23" fillId="4" borderId="2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4" fontId="12" fillId="4" borderId="11" xfId="0" applyNumberFormat="1" applyFont="1" applyFill="1" applyBorder="1" applyAlignment="1" applyProtection="1">
      <alignment horizontal="center" vertical="center"/>
      <protection locked="0"/>
    </xf>
    <xf numFmtId="4" fontId="12" fillId="4" borderId="12" xfId="0" applyNumberFormat="1" applyFont="1" applyFill="1" applyBorder="1" applyAlignment="1" applyProtection="1">
      <alignment horizontal="center" vertical="center"/>
      <protection locked="0"/>
    </xf>
    <xf numFmtId="4" fontId="12" fillId="4" borderId="8" xfId="0" applyNumberFormat="1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4" fontId="12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zal_Szczecin" xfId="2" xr:uid="{B922533B-0E3D-494B-A655-EF4AD869C4DD}"/>
    <cellStyle name="Walutowy 2" xfId="1" xr:uid="{C3A59992-C094-4545-A647-5FDF5A676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C0C9-2B7F-438F-8BAF-9D8A08A93675}">
  <dimension ref="A1:AD230"/>
  <sheetViews>
    <sheetView tabSelected="1" topLeftCell="A118" workbookViewId="0">
      <selection activeCell="B29" sqref="B29"/>
    </sheetView>
  </sheetViews>
  <sheetFormatPr defaultRowHeight="15" x14ac:dyDescent="0.25"/>
  <cols>
    <col min="1" max="1" width="3" style="78" customWidth="1"/>
    <col min="2" max="2" width="21.28515625" customWidth="1"/>
    <col min="3" max="3" width="10.42578125" customWidth="1"/>
    <col min="4" max="5" width="10.5703125" customWidth="1"/>
    <col min="6" max="6" width="9.5703125" customWidth="1"/>
    <col min="7" max="7" width="30.28515625" customWidth="1"/>
    <col min="8" max="8" width="10.7109375" customWidth="1"/>
    <col min="9" max="9" width="8.140625" customWidth="1"/>
    <col min="10" max="10" width="9.5703125" customWidth="1"/>
    <col min="11" max="11" width="9.7109375" customWidth="1"/>
    <col min="12" max="12" width="5.5703125" customWidth="1"/>
  </cols>
  <sheetData>
    <row r="1" spans="1:12" x14ac:dyDescent="0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 x14ac:dyDescent="0.25">
      <c r="A2" s="162" t="s">
        <v>330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2.75" customHeight="1" x14ac:dyDescent="0.25">
      <c r="A3" s="162" t="s">
        <v>331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5.75" x14ac:dyDescent="0.25">
      <c r="A4" s="163" t="s">
        <v>182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5.75" x14ac:dyDescent="0.25">
      <c r="A5" s="1"/>
      <c r="B5" s="1"/>
      <c r="C5" s="1"/>
      <c r="D5" s="2"/>
      <c r="E5" s="1"/>
      <c r="F5" s="1"/>
      <c r="G5" s="2"/>
      <c r="H5" s="3"/>
      <c r="I5" s="2"/>
      <c r="J5" s="2"/>
      <c r="K5" s="2"/>
      <c r="L5" s="1"/>
    </row>
    <row r="6" spans="1:12" x14ac:dyDescent="0.25">
      <c r="A6" s="174" t="s">
        <v>1</v>
      </c>
      <c r="B6" s="176" t="s">
        <v>2</v>
      </c>
      <c r="C6" s="176" t="s">
        <v>3</v>
      </c>
      <c r="D6" s="176" t="s">
        <v>4</v>
      </c>
      <c r="E6" s="186" t="s">
        <v>5</v>
      </c>
      <c r="F6" s="178" t="s">
        <v>6</v>
      </c>
      <c r="G6" s="178" t="s">
        <v>7</v>
      </c>
      <c r="H6" s="170" t="s">
        <v>8</v>
      </c>
      <c r="I6" s="170"/>
      <c r="J6" s="170"/>
      <c r="K6" s="171"/>
      <c r="L6" s="164" t="s">
        <v>9</v>
      </c>
    </row>
    <row r="7" spans="1:12" ht="4.9000000000000004" customHeight="1" x14ac:dyDescent="0.25">
      <c r="A7" s="174"/>
      <c r="B7" s="176"/>
      <c r="C7" s="176"/>
      <c r="D7" s="176"/>
      <c r="E7" s="187"/>
      <c r="F7" s="179"/>
      <c r="G7" s="179"/>
      <c r="H7" s="172"/>
      <c r="I7" s="172"/>
      <c r="J7" s="172"/>
      <c r="K7" s="173"/>
      <c r="L7" s="164"/>
    </row>
    <row r="8" spans="1:12" ht="15" customHeight="1" x14ac:dyDescent="0.25">
      <c r="A8" s="174"/>
      <c r="B8" s="176"/>
      <c r="C8" s="176"/>
      <c r="D8" s="176"/>
      <c r="E8" s="187"/>
      <c r="F8" s="179"/>
      <c r="G8" s="179"/>
      <c r="H8" s="165" t="s">
        <v>10</v>
      </c>
      <c r="I8" s="167" t="s">
        <v>207</v>
      </c>
      <c r="J8" s="168" t="s">
        <v>208</v>
      </c>
      <c r="K8" s="168" t="s">
        <v>11</v>
      </c>
      <c r="L8" s="164"/>
    </row>
    <row r="9" spans="1:12" x14ac:dyDescent="0.25">
      <c r="A9" s="174"/>
      <c r="B9" s="176"/>
      <c r="C9" s="176"/>
      <c r="D9" s="176"/>
      <c r="E9" s="187"/>
      <c r="F9" s="179"/>
      <c r="G9" s="179"/>
      <c r="H9" s="165"/>
      <c r="I9" s="167"/>
      <c r="J9" s="168"/>
      <c r="K9" s="168"/>
      <c r="L9" s="164"/>
    </row>
    <row r="10" spans="1:12" ht="8.4499999999999993" customHeight="1" x14ac:dyDescent="0.25">
      <c r="A10" s="174"/>
      <c r="B10" s="176"/>
      <c r="C10" s="176"/>
      <c r="D10" s="176"/>
      <c r="E10" s="187"/>
      <c r="F10" s="179"/>
      <c r="G10" s="179"/>
      <c r="H10" s="165"/>
      <c r="I10" s="167"/>
      <c r="J10" s="168"/>
      <c r="K10" s="168"/>
      <c r="L10" s="164"/>
    </row>
    <row r="11" spans="1:12" ht="29.45" customHeight="1" x14ac:dyDescent="0.25">
      <c r="A11" s="175"/>
      <c r="B11" s="4" t="s">
        <v>12</v>
      </c>
      <c r="C11" s="177"/>
      <c r="D11" s="176"/>
      <c r="E11" s="188"/>
      <c r="F11" s="180"/>
      <c r="G11" s="180"/>
      <c r="H11" s="166"/>
      <c r="I11" s="167"/>
      <c r="J11" s="169"/>
      <c r="K11" s="169"/>
      <c r="L11" s="164"/>
    </row>
    <row r="12" spans="1:12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4</v>
      </c>
      <c r="G12" s="6">
        <v>5</v>
      </c>
      <c r="H12" s="7">
        <v>6</v>
      </c>
      <c r="I12" s="7">
        <v>7</v>
      </c>
      <c r="J12" s="7">
        <v>8</v>
      </c>
      <c r="K12" s="7">
        <v>9</v>
      </c>
      <c r="L12" s="5">
        <v>10</v>
      </c>
    </row>
    <row r="13" spans="1:12" x14ac:dyDescent="0.25">
      <c r="A13" s="181" t="s">
        <v>13</v>
      </c>
      <c r="B13" s="182"/>
      <c r="C13" s="8">
        <f>SUM(C14:C17)</f>
        <v>10735721.1</v>
      </c>
      <c r="D13" s="8">
        <f t="shared" ref="D13:K13" si="0">SUM(D14:D17)</f>
        <v>417000</v>
      </c>
      <c r="E13" s="8">
        <f t="shared" si="0"/>
        <v>-81278.899999999994</v>
      </c>
      <c r="F13" s="8">
        <f t="shared" si="0"/>
        <v>335721.1</v>
      </c>
      <c r="G13" s="8"/>
      <c r="H13" s="8">
        <f t="shared" si="0"/>
        <v>335721.1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10"/>
    </row>
    <row r="14" spans="1:12" ht="52.9" customHeight="1" x14ac:dyDescent="0.25">
      <c r="A14" s="138" t="s">
        <v>15</v>
      </c>
      <c r="B14" s="139" t="s">
        <v>245</v>
      </c>
      <c r="C14" s="129">
        <f>660000-74000-81278.9</f>
        <v>504721.1</v>
      </c>
      <c r="D14" s="129">
        <f>260000-74000</f>
        <v>186000</v>
      </c>
      <c r="E14" s="130">
        <v>-81278.899999999994</v>
      </c>
      <c r="F14" s="129">
        <f>D14+E14</f>
        <v>104721.1</v>
      </c>
      <c r="G14" s="136" t="s">
        <v>227</v>
      </c>
      <c r="H14" s="129">
        <f>260000-74000-81278.9</f>
        <v>104721.1</v>
      </c>
      <c r="I14" s="140">
        <v>0</v>
      </c>
      <c r="J14" s="136">
        <v>0</v>
      </c>
      <c r="K14" s="129">
        <v>0</v>
      </c>
      <c r="L14" s="141" t="s">
        <v>16</v>
      </c>
    </row>
    <row r="15" spans="1:12" ht="33" customHeight="1" x14ac:dyDescent="0.25">
      <c r="A15" s="83" t="s">
        <v>24</v>
      </c>
      <c r="B15" s="92" t="s">
        <v>247</v>
      </c>
      <c r="C15" s="11">
        <f>25000+6000</f>
        <v>31000</v>
      </c>
      <c r="D15" s="11">
        <f>25000+6000</f>
        <v>31000</v>
      </c>
      <c r="E15" s="12">
        <v>0</v>
      </c>
      <c r="F15" s="11">
        <f>D15+E15</f>
        <v>31000</v>
      </c>
      <c r="G15" s="13" t="s">
        <v>248</v>
      </c>
      <c r="H15" s="11">
        <f>25000+6000</f>
        <v>31000</v>
      </c>
      <c r="I15" s="14">
        <v>0</v>
      </c>
      <c r="J15" s="13">
        <v>0</v>
      </c>
      <c r="K15" s="11">
        <v>0</v>
      </c>
      <c r="L15" s="15" t="s">
        <v>14</v>
      </c>
    </row>
    <row r="16" spans="1:12" ht="31.15" customHeight="1" x14ac:dyDescent="0.25">
      <c r="A16" s="83" t="s">
        <v>26</v>
      </c>
      <c r="B16" s="92" t="s">
        <v>244</v>
      </c>
      <c r="C16" s="11">
        <v>200000</v>
      </c>
      <c r="D16" s="11">
        <v>100000</v>
      </c>
      <c r="E16" s="12">
        <v>0</v>
      </c>
      <c r="F16" s="11">
        <f t="shared" ref="F16:F17" si="1">D16+E16</f>
        <v>100000</v>
      </c>
      <c r="G16" s="44" t="s">
        <v>246</v>
      </c>
      <c r="H16" s="11">
        <v>100000</v>
      </c>
      <c r="I16" s="14">
        <v>0</v>
      </c>
      <c r="J16" s="13">
        <v>0</v>
      </c>
      <c r="K16" s="11">
        <v>0</v>
      </c>
      <c r="L16" s="15" t="s">
        <v>16</v>
      </c>
    </row>
    <row r="17" spans="1:12" ht="30" customHeight="1" x14ac:dyDescent="0.25">
      <c r="A17" s="83" t="s">
        <v>35</v>
      </c>
      <c r="B17" s="44" t="s">
        <v>206</v>
      </c>
      <c r="C17" s="11">
        <v>10000000</v>
      </c>
      <c r="D17" s="11">
        <v>100000</v>
      </c>
      <c r="E17" s="12">
        <v>0</v>
      </c>
      <c r="F17" s="11">
        <f t="shared" si="1"/>
        <v>100000</v>
      </c>
      <c r="G17" s="44" t="s">
        <v>113</v>
      </c>
      <c r="H17" s="11">
        <v>100000</v>
      </c>
      <c r="I17" s="14">
        <v>0</v>
      </c>
      <c r="J17" s="13">
        <v>0</v>
      </c>
      <c r="K17" s="11">
        <v>0</v>
      </c>
      <c r="L17" s="15" t="s">
        <v>28</v>
      </c>
    </row>
    <row r="18" spans="1:12" ht="14.45" customHeight="1" x14ac:dyDescent="0.25">
      <c r="A18" s="181" t="s">
        <v>98</v>
      </c>
      <c r="B18" s="190"/>
      <c r="C18" s="16">
        <f>SUM(C19:C20)</f>
        <v>20000000</v>
      </c>
      <c r="D18" s="16">
        <f t="shared" ref="D18:K18" si="2">SUM(D19:D20)</f>
        <v>1500000</v>
      </c>
      <c r="E18" s="16">
        <f t="shared" si="2"/>
        <v>0</v>
      </c>
      <c r="F18" s="16">
        <f t="shared" si="2"/>
        <v>1500000</v>
      </c>
      <c r="G18" s="16"/>
      <c r="H18" s="16">
        <f t="shared" si="2"/>
        <v>1500000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80"/>
    </row>
    <row r="19" spans="1:12" ht="33.6" customHeight="1" x14ac:dyDescent="0.25">
      <c r="A19" s="63" t="s">
        <v>18</v>
      </c>
      <c r="B19" s="92" t="s">
        <v>211</v>
      </c>
      <c r="C19" s="11">
        <v>10000000</v>
      </c>
      <c r="D19" s="11">
        <v>750000</v>
      </c>
      <c r="E19" s="12">
        <v>0</v>
      </c>
      <c r="F19" s="11">
        <f>D19+E19</f>
        <v>750000</v>
      </c>
      <c r="G19" s="13" t="s">
        <v>210</v>
      </c>
      <c r="H19" s="11">
        <v>750000</v>
      </c>
      <c r="I19" s="14">
        <v>0</v>
      </c>
      <c r="J19" s="13">
        <v>0</v>
      </c>
      <c r="K19" s="11">
        <v>0</v>
      </c>
      <c r="L19" s="15" t="s">
        <v>28</v>
      </c>
    </row>
    <row r="20" spans="1:12" ht="32.450000000000003" customHeight="1" x14ac:dyDescent="0.25">
      <c r="A20" s="63" t="s">
        <v>20</v>
      </c>
      <c r="B20" s="92" t="s">
        <v>211</v>
      </c>
      <c r="C20" s="11">
        <v>10000000</v>
      </c>
      <c r="D20" s="11">
        <v>750000</v>
      </c>
      <c r="E20" s="12">
        <v>0</v>
      </c>
      <c r="F20" s="11">
        <f>D20+E20</f>
        <v>750000</v>
      </c>
      <c r="G20" s="13" t="s">
        <v>209</v>
      </c>
      <c r="H20" s="11">
        <v>750000</v>
      </c>
      <c r="I20" s="14">
        <v>0</v>
      </c>
      <c r="J20" s="13">
        <v>0</v>
      </c>
      <c r="K20" s="11">
        <v>0</v>
      </c>
      <c r="L20" s="15" t="s">
        <v>28</v>
      </c>
    </row>
    <row r="21" spans="1:12" ht="17.25" customHeight="1" x14ac:dyDescent="0.25">
      <c r="A21" s="185" t="s">
        <v>322</v>
      </c>
      <c r="B21" s="185"/>
      <c r="C21" s="16">
        <f>C22</f>
        <v>10000</v>
      </c>
      <c r="D21" s="16">
        <f t="shared" ref="D21:K21" si="3">D22</f>
        <v>10000</v>
      </c>
      <c r="E21" s="16">
        <f t="shared" si="3"/>
        <v>0</v>
      </c>
      <c r="F21" s="16">
        <f t="shared" si="3"/>
        <v>10000</v>
      </c>
      <c r="G21" s="79"/>
      <c r="H21" s="16">
        <f t="shared" si="3"/>
        <v>10000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80"/>
    </row>
    <row r="22" spans="1:12" ht="28.5" customHeight="1" x14ac:dyDescent="0.25">
      <c r="A22" s="63" t="s">
        <v>22</v>
      </c>
      <c r="B22" s="123" t="s">
        <v>292</v>
      </c>
      <c r="C22" s="11">
        <v>10000</v>
      </c>
      <c r="D22" s="11">
        <v>10000</v>
      </c>
      <c r="E22" s="12">
        <v>0</v>
      </c>
      <c r="F22" s="11">
        <v>10000</v>
      </c>
      <c r="G22" s="124" t="s">
        <v>293</v>
      </c>
      <c r="H22" s="11">
        <f>877500-867500</f>
        <v>10000</v>
      </c>
      <c r="I22" s="14">
        <v>0</v>
      </c>
      <c r="J22" s="13">
        <f>4972500-4972500</f>
        <v>0</v>
      </c>
      <c r="K22" s="11">
        <v>0</v>
      </c>
      <c r="L22" s="15" t="s">
        <v>28</v>
      </c>
    </row>
    <row r="23" spans="1:12" ht="18" customHeight="1" x14ac:dyDescent="0.25">
      <c r="A23" s="183" t="s">
        <v>17</v>
      </c>
      <c r="B23" s="184"/>
      <c r="C23" s="16">
        <f>SUM(C24:C25)</f>
        <v>350000</v>
      </c>
      <c r="D23" s="16">
        <f t="shared" ref="D23:K23" si="4">SUM(D24:D25)</f>
        <v>230000</v>
      </c>
      <c r="E23" s="16">
        <f t="shared" si="4"/>
        <v>-130000</v>
      </c>
      <c r="F23" s="16">
        <f t="shared" si="4"/>
        <v>100000</v>
      </c>
      <c r="G23" s="16"/>
      <c r="H23" s="16">
        <f t="shared" si="4"/>
        <v>100000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0"/>
    </row>
    <row r="24" spans="1:12" ht="75" customHeight="1" x14ac:dyDescent="0.25">
      <c r="A24" s="37" t="s">
        <v>45</v>
      </c>
      <c r="B24" s="35" t="s">
        <v>212</v>
      </c>
      <c r="C24" s="11">
        <f>220000</f>
        <v>220000</v>
      </c>
      <c r="D24" s="12">
        <v>100000</v>
      </c>
      <c r="E24" s="12">
        <v>0</v>
      </c>
      <c r="F24" s="11">
        <f>D24+E24</f>
        <v>100000</v>
      </c>
      <c r="G24" s="35" t="s">
        <v>19</v>
      </c>
      <c r="H24" s="11">
        <v>100000</v>
      </c>
      <c r="I24" s="11">
        <v>0</v>
      </c>
      <c r="J24" s="13">
        <v>0</v>
      </c>
      <c r="K24" s="11">
        <v>0</v>
      </c>
      <c r="L24" s="36" t="s">
        <v>28</v>
      </c>
    </row>
    <row r="25" spans="1:12" ht="76.150000000000006" customHeight="1" x14ac:dyDescent="0.25">
      <c r="A25" s="138" t="s">
        <v>47</v>
      </c>
      <c r="B25" s="142" t="s">
        <v>205</v>
      </c>
      <c r="C25" s="143">
        <f>260000-130000</f>
        <v>130000</v>
      </c>
      <c r="D25" s="144">
        <v>130000</v>
      </c>
      <c r="E25" s="144">
        <v>-130000</v>
      </c>
      <c r="F25" s="129">
        <v>0</v>
      </c>
      <c r="G25" s="142" t="s">
        <v>80</v>
      </c>
      <c r="H25" s="143">
        <v>0</v>
      </c>
      <c r="I25" s="143">
        <v>0</v>
      </c>
      <c r="J25" s="145">
        <v>0</v>
      </c>
      <c r="K25" s="143">
        <v>0</v>
      </c>
      <c r="L25" s="146" t="s">
        <v>28</v>
      </c>
    </row>
    <row r="26" spans="1:12" ht="16.149999999999999" customHeight="1" x14ac:dyDescent="0.25">
      <c r="A26" s="185" t="s">
        <v>23</v>
      </c>
      <c r="B26" s="185"/>
      <c r="C26" s="16">
        <f>C27</f>
        <v>680000</v>
      </c>
      <c r="D26" s="16">
        <f t="shared" ref="D26:H26" si="5">D27</f>
        <v>195000</v>
      </c>
      <c r="E26" s="16">
        <f t="shared" si="5"/>
        <v>0</v>
      </c>
      <c r="F26" s="16">
        <f t="shared" si="5"/>
        <v>195000</v>
      </c>
      <c r="G26" s="16"/>
      <c r="H26" s="16">
        <f t="shared" si="5"/>
        <v>195000</v>
      </c>
      <c r="I26" s="16">
        <f t="shared" ref="I26" si="6">I27</f>
        <v>0</v>
      </c>
      <c r="J26" s="16">
        <f t="shared" ref="J26" si="7">J27</f>
        <v>0</v>
      </c>
      <c r="K26" s="16">
        <f t="shared" ref="K26" si="8">K27</f>
        <v>0</v>
      </c>
      <c r="L26" s="16"/>
    </row>
    <row r="27" spans="1:12" ht="69.599999999999994" customHeight="1" x14ac:dyDescent="0.25">
      <c r="A27" s="81" t="s">
        <v>48</v>
      </c>
      <c r="B27" s="99" t="s">
        <v>230</v>
      </c>
      <c r="C27" s="11">
        <f>600000+80000</f>
        <v>680000</v>
      </c>
      <c r="D27" s="11">
        <v>195000</v>
      </c>
      <c r="E27" s="11">
        <v>0</v>
      </c>
      <c r="F27" s="11">
        <f>D27+E27</f>
        <v>195000</v>
      </c>
      <c r="G27" s="100" t="s">
        <v>148</v>
      </c>
      <c r="H27" s="11">
        <f>115000+80000</f>
        <v>195000</v>
      </c>
      <c r="I27" s="11">
        <v>0</v>
      </c>
      <c r="J27" s="11">
        <v>0</v>
      </c>
      <c r="K27" s="11">
        <v>0</v>
      </c>
      <c r="L27" s="32" t="s">
        <v>28</v>
      </c>
    </row>
    <row r="28" spans="1:12" ht="15" customHeight="1" x14ac:dyDescent="0.25">
      <c r="A28" s="185" t="s">
        <v>21</v>
      </c>
      <c r="B28" s="185"/>
      <c r="C28" s="16">
        <f>C29+C30</f>
        <v>230000</v>
      </c>
      <c r="D28" s="16">
        <f t="shared" ref="D28:K28" si="9">D29+D30</f>
        <v>150000</v>
      </c>
      <c r="E28" s="16">
        <f t="shared" si="9"/>
        <v>0</v>
      </c>
      <c r="F28" s="16">
        <f t="shared" si="9"/>
        <v>150000</v>
      </c>
      <c r="G28" s="16"/>
      <c r="H28" s="16">
        <f t="shared" si="9"/>
        <v>150000</v>
      </c>
      <c r="I28" s="16">
        <f t="shared" si="9"/>
        <v>0</v>
      </c>
      <c r="J28" s="16">
        <f t="shared" si="9"/>
        <v>0</v>
      </c>
      <c r="K28" s="16">
        <f t="shared" si="9"/>
        <v>0</v>
      </c>
      <c r="L28" s="79"/>
    </row>
    <row r="29" spans="1:12" ht="64.150000000000006" customHeight="1" x14ac:dyDescent="0.25">
      <c r="A29" s="115" t="s">
        <v>49</v>
      </c>
      <c r="B29" s="116" t="s">
        <v>231</v>
      </c>
      <c r="C29" s="85">
        <f>200000</f>
        <v>200000</v>
      </c>
      <c r="D29" s="85">
        <v>120000</v>
      </c>
      <c r="E29" s="117">
        <v>0</v>
      </c>
      <c r="F29" s="11">
        <f>D29+E29</f>
        <v>120000</v>
      </c>
      <c r="G29" s="116" t="s">
        <v>229</v>
      </c>
      <c r="H29" s="85">
        <v>120000</v>
      </c>
      <c r="I29" s="85">
        <v>0</v>
      </c>
      <c r="J29" s="118">
        <v>0</v>
      </c>
      <c r="K29" s="85">
        <v>0</v>
      </c>
      <c r="L29" s="119" t="s">
        <v>28</v>
      </c>
    </row>
    <row r="30" spans="1:12" s="82" customFormat="1" ht="55.9" customHeight="1" x14ac:dyDescent="0.25">
      <c r="A30" s="83" t="s">
        <v>50</v>
      </c>
      <c r="B30" s="84" t="s">
        <v>131</v>
      </c>
      <c r="C30" s="11">
        <v>30000</v>
      </c>
      <c r="D30" s="11">
        <v>30000</v>
      </c>
      <c r="E30" s="12">
        <v>0</v>
      </c>
      <c r="F30" s="85">
        <f>D30+E30</f>
        <v>30000</v>
      </c>
      <c r="G30" s="84" t="s">
        <v>132</v>
      </c>
      <c r="H30" s="11">
        <v>30000</v>
      </c>
      <c r="I30" s="11">
        <v>0</v>
      </c>
      <c r="J30" s="13">
        <v>0</v>
      </c>
      <c r="K30" s="11">
        <v>0</v>
      </c>
      <c r="L30" s="32" t="s">
        <v>14</v>
      </c>
    </row>
    <row r="31" spans="1:12" x14ac:dyDescent="0.25">
      <c r="A31" s="185" t="s">
        <v>25</v>
      </c>
      <c r="B31" s="185"/>
      <c r="C31" s="16">
        <f>SUM(C32:C88)</f>
        <v>31059886.479999997</v>
      </c>
      <c r="D31" s="16">
        <f>SUM(D32:D88)</f>
        <v>13412010.779999999</v>
      </c>
      <c r="E31" s="16">
        <f>SUM(E32:E88)</f>
        <v>-1045229</v>
      </c>
      <c r="F31" s="16">
        <f>SUM(F32:F88)</f>
        <v>12366781.779999999</v>
      </c>
      <c r="G31" s="20"/>
      <c r="H31" s="16">
        <f>SUM(H32:H88)</f>
        <v>11872638.019999998</v>
      </c>
      <c r="I31" s="16">
        <f>SUM(I32:I88)</f>
        <v>0</v>
      </c>
      <c r="J31" s="16">
        <f>SUM(J32:J88)</f>
        <v>494143.76</v>
      </c>
      <c r="K31" s="16">
        <f>SUM(K32:K88)</f>
        <v>0</v>
      </c>
      <c r="L31" s="21"/>
    </row>
    <row r="32" spans="1:12" ht="24" customHeight="1" x14ac:dyDescent="0.25">
      <c r="A32" s="197" t="s">
        <v>53</v>
      </c>
      <c r="B32" s="201" t="s">
        <v>194</v>
      </c>
      <c r="C32" s="23">
        <f>5400000 - 50000+30000</f>
        <v>5380000</v>
      </c>
      <c r="D32" s="23">
        <v>80000</v>
      </c>
      <c r="E32" s="24">
        <v>0</v>
      </c>
      <c r="F32" s="23">
        <f t="shared" ref="F32:F80" si="10">D32+E32</f>
        <v>80000</v>
      </c>
      <c r="G32" s="25" t="s">
        <v>27</v>
      </c>
      <c r="H32" s="23">
        <f>F32</f>
        <v>80000</v>
      </c>
      <c r="I32" s="23">
        <v>0</v>
      </c>
      <c r="J32" s="23">
        <v>0</v>
      </c>
      <c r="K32" s="23">
        <v>0</v>
      </c>
      <c r="L32" s="26" t="s">
        <v>28</v>
      </c>
    </row>
    <row r="33" spans="1:12" ht="24" customHeight="1" x14ac:dyDescent="0.25">
      <c r="A33" s="198"/>
      <c r="B33" s="202"/>
      <c r="C33" s="128">
        <v>0</v>
      </c>
      <c r="D33" s="129">
        <v>40000</v>
      </c>
      <c r="E33" s="130">
        <v>-40000</v>
      </c>
      <c r="F33" s="129">
        <f t="shared" si="10"/>
        <v>0</v>
      </c>
      <c r="G33" s="147" t="s">
        <v>103</v>
      </c>
      <c r="H33" s="129">
        <v>0</v>
      </c>
      <c r="I33" s="129">
        <v>0</v>
      </c>
      <c r="J33" s="129">
        <v>0</v>
      </c>
      <c r="K33" s="129">
        <v>0</v>
      </c>
      <c r="L33" s="148" t="s">
        <v>14</v>
      </c>
    </row>
    <row r="34" spans="1:12" ht="19.149999999999999" customHeight="1" x14ac:dyDescent="0.25">
      <c r="A34" s="199"/>
      <c r="B34" s="203"/>
      <c r="C34" s="29">
        <v>51930.6</v>
      </c>
      <c r="D34" s="11">
        <v>51930.6</v>
      </c>
      <c r="E34" s="24">
        <v>0</v>
      </c>
      <c r="F34" s="23">
        <f t="shared" si="10"/>
        <v>51930.6</v>
      </c>
      <c r="G34" s="31" t="s">
        <v>232</v>
      </c>
      <c r="H34" s="11">
        <f>F34</f>
        <v>51930.6</v>
      </c>
      <c r="I34" s="11">
        <v>0</v>
      </c>
      <c r="J34" s="11">
        <v>0</v>
      </c>
      <c r="K34" s="11">
        <v>0</v>
      </c>
      <c r="L34" s="32" t="s">
        <v>28</v>
      </c>
    </row>
    <row r="35" spans="1:12" ht="24" customHeight="1" x14ac:dyDescent="0.25">
      <c r="A35" s="199"/>
      <c r="B35" s="203"/>
      <c r="C35" s="29">
        <f>1300000+400000+2850000+50000</f>
        <v>4600000</v>
      </c>
      <c r="D35" s="11">
        <f>500000+2850000+50000</f>
        <v>3400000</v>
      </c>
      <c r="E35" s="12">
        <v>0</v>
      </c>
      <c r="F35" s="11">
        <f t="shared" si="10"/>
        <v>3400000</v>
      </c>
      <c r="G35" s="31" t="s">
        <v>233</v>
      </c>
      <c r="H35" s="11">
        <f>3350000+50000</f>
        <v>3400000</v>
      </c>
      <c r="I35" s="11">
        <v>0</v>
      </c>
      <c r="J35" s="11">
        <v>0</v>
      </c>
      <c r="K35" s="11">
        <v>0</v>
      </c>
      <c r="L35" s="32" t="s">
        <v>28</v>
      </c>
    </row>
    <row r="36" spans="1:12" ht="16.899999999999999" customHeight="1" x14ac:dyDescent="0.25">
      <c r="A36" s="199"/>
      <c r="B36" s="203"/>
      <c r="C36" s="29">
        <v>4963017.71</v>
      </c>
      <c r="D36" s="11">
        <f>1488905-220000-1260000</f>
        <v>8905</v>
      </c>
      <c r="E36" s="12">
        <v>0</v>
      </c>
      <c r="F36" s="11">
        <f t="shared" si="10"/>
        <v>8905</v>
      </c>
      <c r="G36" s="30" t="s">
        <v>29</v>
      </c>
      <c r="H36" s="11">
        <f>1268905-1260000</f>
        <v>8905</v>
      </c>
      <c r="I36" s="11">
        <v>0</v>
      </c>
      <c r="J36" s="11">
        <v>0</v>
      </c>
      <c r="K36" s="11">
        <v>0</v>
      </c>
      <c r="L36" s="75" t="s">
        <v>28</v>
      </c>
    </row>
    <row r="37" spans="1:12" ht="26.25" customHeight="1" x14ac:dyDescent="0.25">
      <c r="A37" s="199"/>
      <c r="B37" s="203"/>
      <c r="C37" s="29">
        <f>1005817.99+192398.76+12000+27.01</f>
        <v>1210243.76</v>
      </c>
      <c r="D37" s="11">
        <f>301745+192398.76+12000</f>
        <v>506143.76</v>
      </c>
      <c r="E37" s="12">
        <v>0</v>
      </c>
      <c r="F37" s="11">
        <f t="shared" si="10"/>
        <v>506143.76</v>
      </c>
      <c r="G37" s="31" t="s">
        <v>222</v>
      </c>
      <c r="H37" s="11">
        <f>12000</f>
        <v>12000</v>
      </c>
      <c r="I37" s="11">
        <v>0</v>
      </c>
      <c r="J37" s="11">
        <f>241396+192398.76+60349</f>
        <v>494143.76</v>
      </c>
      <c r="K37" s="11">
        <v>0</v>
      </c>
      <c r="L37" s="75" t="s">
        <v>28</v>
      </c>
    </row>
    <row r="38" spans="1:12" ht="30.6" customHeight="1" x14ac:dyDescent="0.25">
      <c r="A38" s="199"/>
      <c r="B38" s="203"/>
      <c r="C38" s="29">
        <f>8220200-115082.8+1633484.44-1000000-500000-6528.84</f>
        <v>8232072.8000000007</v>
      </c>
      <c r="D38" s="11">
        <f>6581766.65-500000-6528.84</f>
        <v>6075237.8100000005</v>
      </c>
      <c r="E38" s="12">
        <v>0</v>
      </c>
      <c r="F38" s="11">
        <f t="shared" si="10"/>
        <v>6075237.8100000005</v>
      </c>
      <c r="G38" s="30" t="s">
        <v>149</v>
      </c>
      <c r="H38" s="11">
        <f>F38</f>
        <v>6075237.8100000005</v>
      </c>
      <c r="I38" s="11">
        <v>0</v>
      </c>
      <c r="J38" s="13">
        <v>0</v>
      </c>
      <c r="K38" s="11">
        <v>0</v>
      </c>
      <c r="L38" s="32" t="s">
        <v>28</v>
      </c>
    </row>
    <row r="39" spans="1:12" ht="30.6" customHeight="1" x14ac:dyDescent="0.25">
      <c r="A39" s="199"/>
      <c r="B39" s="203"/>
      <c r="C39" s="29">
        <v>150000</v>
      </c>
      <c r="D39" s="11">
        <f>100000+50000</f>
        <v>150000</v>
      </c>
      <c r="E39" s="12">
        <v>0</v>
      </c>
      <c r="F39" s="11">
        <f t="shared" si="10"/>
        <v>150000</v>
      </c>
      <c r="G39" s="35" t="s">
        <v>30</v>
      </c>
      <c r="H39" s="11">
        <v>150000</v>
      </c>
      <c r="I39" s="11">
        <v>0</v>
      </c>
      <c r="J39" s="11">
        <v>0</v>
      </c>
      <c r="K39" s="11">
        <v>0</v>
      </c>
      <c r="L39" s="109" t="s">
        <v>28</v>
      </c>
    </row>
    <row r="40" spans="1:12" ht="24.6" customHeight="1" x14ac:dyDescent="0.25">
      <c r="A40" s="199"/>
      <c r="B40" s="203"/>
      <c r="C40" s="29">
        <f>500000+150000-58500</f>
        <v>591500</v>
      </c>
      <c r="D40" s="11">
        <v>141500</v>
      </c>
      <c r="E40" s="12">
        <v>0</v>
      </c>
      <c r="F40" s="11">
        <f t="shared" si="10"/>
        <v>141500</v>
      </c>
      <c r="G40" s="35" t="s">
        <v>31</v>
      </c>
      <c r="H40" s="11">
        <f>141500</f>
        <v>141500</v>
      </c>
      <c r="I40" s="11">
        <v>0</v>
      </c>
      <c r="J40" s="11">
        <v>0</v>
      </c>
      <c r="K40" s="23">
        <v>0</v>
      </c>
      <c r="L40" s="34" t="s">
        <v>28</v>
      </c>
    </row>
    <row r="41" spans="1:12" ht="22.9" customHeight="1" x14ac:dyDescent="0.25">
      <c r="A41" s="199"/>
      <c r="B41" s="203"/>
      <c r="C41" s="128">
        <f>61254+88746-50000</f>
        <v>100000</v>
      </c>
      <c r="D41" s="129">
        <v>50000</v>
      </c>
      <c r="E41" s="130">
        <v>-50000</v>
      </c>
      <c r="F41" s="129">
        <f t="shared" si="10"/>
        <v>0</v>
      </c>
      <c r="G41" s="147" t="s">
        <v>32</v>
      </c>
      <c r="H41" s="129">
        <f>F41</f>
        <v>0</v>
      </c>
      <c r="I41" s="129">
        <v>0</v>
      </c>
      <c r="J41" s="129">
        <v>0</v>
      </c>
      <c r="K41" s="129">
        <v>0</v>
      </c>
      <c r="L41" s="132" t="s">
        <v>28</v>
      </c>
    </row>
    <row r="42" spans="1:12" ht="30.75" customHeight="1" x14ac:dyDescent="0.25">
      <c r="A42" s="199"/>
      <c r="B42" s="203"/>
      <c r="C42" s="29">
        <f>2000000</f>
        <v>2000000</v>
      </c>
      <c r="D42" s="11">
        <v>100000</v>
      </c>
      <c r="E42" s="12">
        <v>0</v>
      </c>
      <c r="F42" s="11">
        <f t="shared" si="10"/>
        <v>100000</v>
      </c>
      <c r="G42" s="35" t="s">
        <v>234</v>
      </c>
      <c r="H42" s="11">
        <v>100000</v>
      </c>
      <c r="I42" s="11">
        <v>0</v>
      </c>
      <c r="J42" s="11">
        <v>0</v>
      </c>
      <c r="K42" s="11">
        <v>0</v>
      </c>
      <c r="L42" s="36" t="s">
        <v>28</v>
      </c>
    </row>
    <row r="43" spans="1:12" ht="37.5" customHeight="1" x14ac:dyDescent="0.25">
      <c r="A43" s="199"/>
      <c r="B43" s="203"/>
      <c r="C43" s="27">
        <v>1060000</v>
      </c>
      <c r="D43" s="23">
        <v>120000</v>
      </c>
      <c r="E43" s="24">
        <v>0</v>
      </c>
      <c r="F43" s="23">
        <f t="shared" si="10"/>
        <v>120000</v>
      </c>
      <c r="G43" s="25" t="s">
        <v>235</v>
      </c>
      <c r="H43" s="23">
        <v>120000</v>
      </c>
      <c r="I43" s="23">
        <v>0</v>
      </c>
      <c r="J43" s="23">
        <v>0</v>
      </c>
      <c r="K43" s="23">
        <v>0</v>
      </c>
      <c r="L43" s="34" t="s">
        <v>28</v>
      </c>
    </row>
    <row r="44" spans="1:12" ht="30" customHeight="1" x14ac:dyDescent="0.25">
      <c r="A44" s="199"/>
      <c r="B44" s="203"/>
      <c r="C44" s="128">
        <f>150000-5229</f>
        <v>144771</v>
      </c>
      <c r="D44" s="129">
        <v>150000</v>
      </c>
      <c r="E44" s="130">
        <v>-5229</v>
      </c>
      <c r="F44" s="129">
        <f t="shared" si="10"/>
        <v>144771</v>
      </c>
      <c r="G44" s="147" t="s">
        <v>114</v>
      </c>
      <c r="H44" s="129">
        <v>144771</v>
      </c>
      <c r="I44" s="129">
        <v>0</v>
      </c>
      <c r="J44" s="129">
        <v>0</v>
      </c>
      <c r="K44" s="129">
        <v>0</v>
      </c>
      <c r="L44" s="132" t="s">
        <v>28</v>
      </c>
    </row>
    <row r="45" spans="1:12" ht="30" customHeight="1" x14ac:dyDescent="0.25">
      <c r="A45" s="199"/>
      <c r="B45" s="203"/>
      <c r="C45" s="128">
        <f>580000-50000</f>
        <v>530000</v>
      </c>
      <c r="D45" s="129">
        <v>300000</v>
      </c>
      <c r="E45" s="130">
        <v>-50000</v>
      </c>
      <c r="F45" s="129">
        <f t="shared" si="10"/>
        <v>250000</v>
      </c>
      <c r="G45" s="147" t="s">
        <v>122</v>
      </c>
      <c r="H45" s="129">
        <v>250000</v>
      </c>
      <c r="I45" s="129">
        <v>0</v>
      </c>
      <c r="J45" s="129">
        <v>0</v>
      </c>
      <c r="K45" s="129">
        <v>0</v>
      </c>
      <c r="L45" s="132" t="s">
        <v>28</v>
      </c>
    </row>
    <row r="46" spans="1:12" ht="30" customHeight="1" x14ac:dyDescent="0.25">
      <c r="A46" s="199"/>
      <c r="B46" s="203"/>
      <c r="C46" s="29">
        <f>20000</f>
        <v>20000</v>
      </c>
      <c r="D46" s="11">
        <v>20000</v>
      </c>
      <c r="E46" s="12">
        <v>0</v>
      </c>
      <c r="F46" s="11">
        <f t="shared" si="10"/>
        <v>20000</v>
      </c>
      <c r="G46" s="35" t="s">
        <v>33</v>
      </c>
      <c r="H46" s="11">
        <v>20000</v>
      </c>
      <c r="I46" s="11">
        <v>0</v>
      </c>
      <c r="J46" s="11">
        <v>0</v>
      </c>
      <c r="K46" s="11">
        <v>0</v>
      </c>
      <c r="L46" s="36" t="s">
        <v>28</v>
      </c>
    </row>
    <row r="47" spans="1:12" ht="30" customHeight="1" x14ac:dyDescent="0.25">
      <c r="A47" s="199"/>
      <c r="B47" s="203"/>
      <c r="C47" s="29">
        <v>320500</v>
      </c>
      <c r="D47" s="11">
        <v>310000</v>
      </c>
      <c r="E47" s="12">
        <v>0</v>
      </c>
      <c r="F47" s="11">
        <f t="shared" si="10"/>
        <v>310000</v>
      </c>
      <c r="G47" s="35" t="s">
        <v>238</v>
      </c>
      <c r="H47" s="11">
        <v>310000</v>
      </c>
      <c r="I47" s="11">
        <v>0</v>
      </c>
      <c r="J47" s="11">
        <v>0</v>
      </c>
      <c r="K47" s="11">
        <v>0</v>
      </c>
      <c r="L47" s="36" t="s">
        <v>28</v>
      </c>
    </row>
    <row r="48" spans="1:12" ht="28.9" customHeight="1" x14ac:dyDescent="0.25">
      <c r="A48" s="199"/>
      <c r="B48" s="203"/>
      <c r="C48" s="29">
        <f>80000+68000</f>
        <v>148000</v>
      </c>
      <c r="D48" s="11">
        <v>80000</v>
      </c>
      <c r="E48" s="12">
        <v>0</v>
      </c>
      <c r="F48" s="11">
        <f t="shared" si="10"/>
        <v>80000</v>
      </c>
      <c r="G48" s="35" t="s">
        <v>150</v>
      </c>
      <c r="H48" s="11">
        <f>80000</f>
        <v>80000</v>
      </c>
      <c r="I48" s="11">
        <v>0</v>
      </c>
      <c r="J48" s="11">
        <v>0</v>
      </c>
      <c r="K48" s="11">
        <v>0</v>
      </c>
      <c r="L48" s="36" t="s">
        <v>28</v>
      </c>
    </row>
    <row r="49" spans="1:12" ht="28.9" customHeight="1" x14ac:dyDescent="0.25">
      <c r="A49" s="199"/>
      <c r="B49" s="203"/>
      <c r="C49" s="29">
        <v>121000</v>
      </c>
      <c r="D49" s="11">
        <v>50000</v>
      </c>
      <c r="E49" s="12">
        <v>0</v>
      </c>
      <c r="F49" s="11">
        <v>50000</v>
      </c>
      <c r="G49" s="35" t="s">
        <v>104</v>
      </c>
      <c r="H49" s="11">
        <v>50000</v>
      </c>
      <c r="I49" s="11">
        <v>0</v>
      </c>
      <c r="J49" s="11">
        <v>0</v>
      </c>
      <c r="K49" s="11">
        <v>0</v>
      </c>
      <c r="L49" s="36" t="s">
        <v>28</v>
      </c>
    </row>
    <row r="50" spans="1:12" ht="28.9" customHeight="1" x14ac:dyDescent="0.25">
      <c r="A50" s="199"/>
      <c r="B50" s="203"/>
      <c r="C50" s="29">
        <v>88000</v>
      </c>
      <c r="D50" s="11">
        <v>70000</v>
      </c>
      <c r="E50" s="12">
        <v>0</v>
      </c>
      <c r="F50" s="11">
        <v>70000</v>
      </c>
      <c r="G50" s="35" t="s">
        <v>105</v>
      </c>
      <c r="H50" s="11">
        <v>70000</v>
      </c>
      <c r="I50" s="11">
        <v>0</v>
      </c>
      <c r="J50" s="11">
        <v>0</v>
      </c>
      <c r="K50" s="11">
        <v>0</v>
      </c>
      <c r="L50" s="36" t="s">
        <v>28</v>
      </c>
    </row>
    <row r="51" spans="1:12" ht="28.9" customHeight="1" x14ac:dyDescent="0.25">
      <c r="A51" s="199"/>
      <c r="B51" s="203"/>
      <c r="C51" s="29">
        <v>87000</v>
      </c>
      <c r="D51" s="11">
        <v>50000</v>
      </c>
      <c r="E51" s="12">
        <v>0</v>
      </c>
      <c r="F51" s="11">
        <v>50000</v>
      </c>
      <c r="G51" s="35" t="s">
        <v>120</v>
      </c>
      <c r="H51" s="11">
        <v>50000</v>
      </c>
      <c r="I51" s="11">
        <v>0</v>
      </c>
      <c r="J51" s="11">
        <v>0</v>
      </c>
      <c r="K51" s="11">
        <v>0</v>
      </c>
      <c r="L51" s="36" t="s">
        <v>28</v>
      </c>
    </row>
    <row r="52" spans="1:12" ht="28.9" customHeight="1" x14ac:dyDescent="0.25">
      <c r="A52" s="199"/>
      <c r="B52" s="203"/>
      <c r="C52" s="29">
        <f>160000</f>
        <v>160000</v>
      </c>
      <c r="D52" s="11">
        <v>96000</v>
      </c>
      <c r="E52" s="12">
        <v>0</v>
      </c>
      <c r="F52" s="11">
        <f>100000-4000</f>
        <v>96000</v>
      </c>
      <c r="G52" s="35" t="s">
        <v>236</v>
      </c>
      <c r="H52" s="11">
        <f>100000-4000</f>
        <v>96000</v>
      </c>
      <c r="I52" s="11">
        <v>0</v>
      </c>
      <c r="J52" s="11">
        <v>0</v>
      </c>
      <c r="K52" s="11">
        <v>0</v>
      </c>
      <c r="L52" s="36" t="s">
        <v>28</v>
      </c>
    </row>
    <row r="53" spans="1:12" ht="28.9" customHeight="1" x14ac:dyDescent="0.25">
      <c r="A53" s="199"/>
      <c r="B53" s="203"/>
      <c r="C53" s="128">
        <f>160000-150000</f>
        <v>10000</v>
      </c>
      <c r="D53" s="129">
        <v>150000</v>
      </c>
      <c r="E53" s="130">
        <v>-150000</v>
      </c>
      <c r="F53" s="129">
        <v>0</v>
      </c>
      <c r="G53" s="131" t="s">
        <v>249</v>
      </c>
      <c r="H53" s="129">
        <v>0</v>
      </c>
      <c r="I53" s="129">
        <v>0</v>
      </c>
      <c r="J53" s="129">
        <v>0</v>
      </c>
      <c r="K53" s="129">
        <v>0</v>
      </c>
      <c r="L53" s="132" t="s">
        <v>28</v>
      </c>
    </row>
    <row r="54" spans="1:12" ht="32.25" customHeight="1" x14ac:dyDescent="0.25">
      <c r="A54" s="199"/>
      <c r="B54" s="203"/>
      <c r="C54" s="128">
        <f>110000-100000</f>
        <v>10000</v>
      </c>
      <c r="D54" s="129">
        <v>100000</v>
      </c>
      <c r="E54" s="130">
        <v>-100000</v>
      </c>
      <c r="F54" s="129">
        <v>0</v>
      </c>
      <c r="G54" s="147" t="s">
        <v>279</v>
      </c>
      <c r="H54" s="129">
        <v>0</v>
      </c>
      <c r="I54" s="129">
        <v>0</v>
      </c>
      <c r="J54" s="129">
        <v>0</v>
      </c>
      <c r="K54" s="129">
        <v>0</v>
      </c>
      <c r="L54" s="132" t="s">
        <v>28</v>
      </c>
    </row>
    <row r="55" spans="1:12" ht="19.149999999999999" customHeight="1" x14ac:dyDescent="0.25">
      <c r="A55" s="199"/>
      <c r="B55" s="203"/>
      <c r="C55" s="128">
        <f>100000-90000-10000</f>
        <v>0</v>
      </c>
      <c r="D55" s="129">
        <f>100000-90000</f>
        <v>10000</v>
      </c>
      <c r="E55" s="130">
        <v>-10000</v>
      </c>
      <c r="F55" s="129">
        <f t="shared" si="10"/>
        <v>0</v>
      </c>
      <c r="G55" s="147" t="s">
        <v>90</v>
      </c>
      <c r="H55" s="129">
        <v>0</v>
      </c>
      <c r="I55" s="129">
        <v>0</v>
      </c>
      <c r="J55" s="129">
        <v>0</v>
      </c>
      <c r="K55" s="129">
        <v>0</v>
      </c>
      <c r="L55" s="132" t="s">
        <v>14</v>
      </c>
    </row>
    <row r="56" spans="1:12" ht="24" customHeight="1" x14ac:dyDescent="0.25">
      <c r="A56" s="199"/>
      <c r="B56" s="203"/>
      <c r="C56" s="29">
        <f>20000</f>
        <v>20000</v>
      </c>
      <c r="D56" s="11">
        <v>20000</v>
      </c>
      <c r="E56" s="12">
        <v>0</v>
      </c>
      <c r="F56" s="11">
        <f t="shared" si="10"/>
        <v>20000</v>
      </c>
      <c r="G56" s="35" t="s">
        <v>151</v>
      </c>
      <c r="H56" s="11">
        <v>20000</v>
      </c>
      <c r="I56" s="11">
        <v>0</v>
      </c>
      <c r="J56" s="11">
        <v>0</v>
      </c>
      <c r="K56" s="11">
        <v>0</v>
      </c>
      <c r="L56" s="36" t="s">
        <v>14</v>
      </c>
    </row>
    <row r="57" spans="1:12" ht="32.25" customHeight="1" x14ac:dyDescent="0.25">
      <c r="A57" s="199"/>
      <c r="B57" s="203"/>
      <c r="C57" s="29">
        <f>20000</f>
        <v>20000</v>
      </c>
      <c r="D57" s="11">
        <v>20000</v>
      </c>
      <c r="E57" s="12">
        <v>0</v>
      </c>
      <c r="F57" s="11">
        <f t="shared" si="10"/>
        <v>20000</v>
      </c>
      <c r="G57" s="35" t="s">
        <v>228</v>
      </c>
      <c r="H57" s="11">
        <v>20000</v>
      </c>
      <c r="I57" s="11">
        <v>0</v>
      </c>
      <c r="J57" s="11">
        <v>0</v>
      </c>
      <c r="K57" s="11">
        <v>0</v>
      </c>
      <c r="L57" s="36" t="s">
        <v>14</v>
      </c>
    </row>
    <row r="58" spans="1:12" ht="30.6" customHeight="1" x14ac:dyDescent="0.25">
      <c r="A58" s="199"/>
      <c r="B58" s="203"/>
      <c r="C58" s="128">
        <f>300000-220000</f>
        <v>80000</v>
      </c>
      <c r="D58" s="129">
        <v>300000</v>
      </c>
      <c r="E58" s="130">
        <v>-220000</v>
      </c>
      <c r="F58" s="129">
        <f t="shared" si="10"/>
        <v>80000</v>
      </c>
      <c r="G58" s="147" t="s">
        <v>115</v>
      </c>
      <c r="H58" s="129">
        <v>80000</v>
      </c>
      <c r="I58" s="129">
        <v>0</v>
      </c>
      <c r="J58" s="129">
        <v>0</v>
      </c>
      <c r="K58" s="129">
        <v>0</v>
      </c>
      <c r="L58" s="132" t="s">
        <v>14</v>
      </c>
    </row>
    <row r="59" spans="1:12" ht="21.6" customHeight="1" x14ac:dyDescent="0.25">
      <c r="A59" s="199"/>
      <c r="B59" s="203"/>
      <c r="C59" s="128">
        <v>0</v>
      </c>
      <c r="D59" s="129">
        <v>20000</v>
      </c>
      <c r="E59" s="130">
        <v>-20000</v>
      </c>
      <c r="F59" s="129">
        <f t="shared" si="10"/>
        <v>0</v>
      </c>
      <c r="G59" s="147" t="s">
        <v>278</v>
      </c>
      <c r="H59" s="129">
        <v>0</v>
      </c>
      <c r="I59" s="129">
        <v>0</v>
      </c>
      <c r="J59" s="129">
        <v>0</v>
      </c>
      <c r="K59" s="129">
        <v>0</v>
      </c>
      <c r="L59" s="132" t="s">
        <v>14</v>
      </c>
    </row>
    <row r="60" spans="1:12" ht="87" customHeight="1" x14ac:dyDescent="0.25">
      <c r="A60" s="199"/>
      <c r="B60" s="203"/>
      <c r="C60" s="128">
        <v>0</v>
      </c>
      <c r="D60" s="129">
        <v>50000</v>
      </c>
      <c r="E60" s="130">
        <v>-50000</v>
      </c>
      <c r="F60" s="129">
        <f t="shared" si="10"/>
        <v>0</v>
      </c>
      <c r="G60" s="147" t="s">
        <v>303</v>
      </c>
      <c r="H60" s="129">
        <v>0</v>
      </c>
      <c r="I60" s="129">
        <v>0</v>
      </c>
      <c r="J60" s="129">
        <v>0</v>
      </c>
      <c r="K60" s="129">
        <v>0</v>
      </c>
      <c r="L60" s="132" t="s">
        <v>14</v>
      </c>
    </row>
    <row r="61" spans="1:12" ht="25.9" customHeight="1" x14ac:dyDescent="0.25">
      <c r="A61" s="199"/>
      <c r="B61" s="203"/>
      <c r="C61" s="128">
        <v>0</v>
      </c>
      <c r="D61" s="129">
        <v>50000</v>
      </c>
      <c r="E61" s="130">
        <v>-50000</v>
      </c>
      <c r="F61" s="129">
        <f t="shared" si="10"/>
        <v>0</v>
      </c>
      <c r="G61" s="147" t="s">
        <v>106</v>
      </c>
      <c r="H61" s="129">
        <v>0</v>
      </c>
      <c r="I61" s="129">
        <v>0</v>
      </c>
      <c r="J61" s="129">
        <v>0</v>
      </c>
      <c r="K61" s="129">
        <v>0</v>
      </c>
      <c r="L61" s="132" t="s">
        <v>14</v>
      </c>
    </row>
    <row r="62" spans="1:12" ht="25.15" customHeight="1" x14ac:dyDescent="0.25">
      <c r="A62" s="199"/>
      <c r="B62" s="203"/>
      <c r="C62" s="29">
        <v>5000</v>
      </c>
      <c r="D62" s="11">
        <v>5000</v>
      </c>
      <c r="E62" s="24">
        <v>0</v>
      </c>
      <c r="F62" s="23">
        <f t="shared" si="10"/>
        <v>5000</v>
      </c>
      <c r="G62" s="35" t="s">
        <v>107</v>
      </c>
      <c r="H62" s="11">
        <v>5000</v>
      </c>
      <c r="I62" s="11">
        <v>0</v>
      </c>
      <c r="J62" s="11">
        <v>0</v>
      </c>
      <c r="K62" s="11">
        <v>0</v>
      </c>
      <c r="L62" s="36" t="s">
        <v>14</v>
      </c>
    </row>
    <row r="63" spans="1:12" ht="37.5" customHeight="1" x14ac:dyDescent="0.25">
      <c r="A63" s="199"/>
      <c r="B63" s="203"/>
      <c r="C63" s="29">
        <v>10000</v>
      </c>
      <c r="D63" s="11">
        <v>10000</v>
      </c>
      <c r="E63" s="12">
        <v>0</v>
      </c>
      <c r="F63" s="11">
        <f t="shared" si="10"/>
        <v>10000</v>
      </c>
      <c r="G63" s="35" t="s">
        <v>270</v>
      </c>
      <c r="H63" s="11">
        <v>10000</v>
      </c>
      <c r="I63" s="11">
        <v>0</v>
      </c>
      <c r="J63" s="11">
        <v>0</v>
      </c>
      <c r="K63" s="11">
        <v>0</v>
      </c>
      <c r="L63" s="36" t="s">
        <v>14</v>
      </c>
    </row>
    <row r="64" spans="1:12" ht="52.9" customHeight="1" x14ac:dyDescent="0.25">
      <c r="A64" s="199"/>
      <c r="B64" s="203"/>
      <c r="C64" s="29">
        <v>20000</v>
      </c>
      <c r="D64" s="11">
        <v>20000</v>
      </c>
      <c r="E64" s="12">
        <v>0</v>
      </c>
      <c r="F64" s="11">
        <f t="shared" si="10"/>
        <v>20000</v>
      </c>
      <c r="G64" s="35" t="s">
        <v>304</v>
      </c>
      <c r="H64" s="11">
        <v>20000</v>
      </c>
      <c r="I64" s="11">
        <v>0</v>
      </c>
      <c r="J64" s="11">
        <v>0</v>
      </c>
      <c r="K64" s="11">
        <v>0</v>
      </c>
      <c r="L64" s="36" t="s">
        <v>14</v>
      </c>
    </row>
    <row r="65" spans="1:12" ht="24.6" customHeight="1" x14ac:dyDescent="0.25">
      <c r="A65" s="199"/>
      <c r="B65" s="203"/>
      <c r="C65" s="29">
        <v>30000</v>
      </c>
      <c r="D65" s="11">
        <v>30000</v>
      </c>
      <c r="E65" s="12">
        <v>0</v>
      </c>
      <c r="F65" s="11">
        <f t="shared" si="10"/>
        <v>30000</v>
      </c>
      <c r="G65" s="35" t="s">
        <v>108</v>
      </c>
      <c r="H65" s="11">
        <v>30000</v>
      </c>
      <c r="I65" s="11">
        <v>0</v>
      </c>
      <c r="J65" s="11">
        <v>0</v>
      </c>
      <c r="K65" s="11">
        <v>0</v>
      </c>
      <c r="L65" s="36" t="s">
        <v>14</v>
      </c>
    </row>
    <row r="66" spans="1:12" ht="36.6" customHeight="1" x14ac:dyDescent="0.25">
      <c r="A66" s="199"/>
      <c r="B66" s="203"/>
      <c r="C66" s="128">
        <v>0</v>
      </c>
      <c r="D66" s="129">
        <v>30000</v>
      </c>
      <c r="E66" s="130">
        <v>-30000</v>
      </c>
      <c r="F66" s="129">
        <f t="shared" si="10"/>
        <v>0</v>
      </c>
      <c r="G66" s="147" t="s">
        <v>184</v>
      </c>
      <c r="H66" s="129">
        <v>0</v>
      </c>
      <c r="I66" s="129">
        <v>0</v>
      </c>
      <c r="J66" s="129">
        <v>0</v>
      </c>
      <c r="K66" s="129">
        <v>0</v>
      </c>
      <c r="L66" s="132" t="s">
        <v>14</v>
      </c>
    </row>
    <row r="67" spans="1:12" ht="36" customHeight="1" x14ac:dyDescent="0.25">
      <c r="A67" s="199"/>
      <c r="B67" s="203"/>
      <c r="C67" s="29">
        <v>50000</v>
      </c>
      <c r="D67" s="11">
        <v>50000</v>
      </c>
      <c r="E67" s="12">
        <v>0</v>
      </c>
      <c r="F67" s="11">
        <f t="shared" si="10"/>
        <v>50000</v>
      </c>
      <c r="G67" s="35" t="s">
        <v>305</v>
      </c>
      <c r="H67" s="11">
        <v>50000</v>
      </c>
      <c r="I67" s="11">
        <v>0</v>
      </c>
      <c r="J67" s="11">
        <v>0</v>
      </c>
      <c r="K67" s="11">
        <v>0</v>
      </c>
      <c r="L67" s="36" t="s">
        <v>14</v>
      </c>
    </row>
    <row r="68" spans="1:12" ht="32.25" customHeight="1" x14ac:dyDescent="0.25">
      <c r="A68" s="199"/>
      <c r="B68" s="203"/>
      <c r="C68" s="29">
        <f>10000+22834.85</f>
        <v>32834.85</v>
      </c>
      <c r="D68" s="11">
        <v>32834.85</v>
      </c>
      <c r="E68" s="12">
        <v>0</v>
      </c>
      <c r="F68" s="11">
        <f t="shared" si="10"/>
        <v>32834.85</v>
      </c>
      <c r="G68" s="35" t="s">
        <v>317</v>
      </c>
      <c r="H68" s="11">
        <v>32834.85</v>
      </c>
      <c r="I68" s="11">
        <v>0</v>
      </c>
      <c r="J68" s="11">
        <v>0</v>
      </c>
      <c r="K68" s="11">
        <v>0</v>
      </c>
      <c r="L68" s="36" t="s">
        <v>14</v>
      </c>
    </row>
    <row r="69" spans="1:12" ht="32.25" customHeight="1" x14ac:dyDescent="0.25">
      <c r="A69" s="199"/>
      <c r="B69" s="203"/>
      <c r="C69" s="128">
        <v>0</v>
      </c>
      <c r="D69" s="129">
        <v>50000</v>
      </c>
      <c r="E69" s="130">
        <v>-50000</v>
      </c>
      <c r="F69" s="129">
        <f t="shared" si="10"/>
        <v>0</v>
      </c>
      <c r="G69" s="147" t="s">
        <v>116</v>
      </c>
      <c r="H69" s="129">
        <v>0</v>
      </c>
      <c r="I69" s="129">
        <v>0</v>
      </c>
      <c r="J69" s="129">
        <v>0</v>
      </c>
      <c r="K69" s="129">
        <v>0</v>
      </c>
      <c r="L69" s="132" t="s">
        <v>14</v>
      </c>
    </row>
    <row r="70" spans="1:12" ht="32.25" customHeight="1" x14ac:dyDescent="0.25">
      <c r="A70" s="199"/>
      <c r="B70" s="203"/>
      <c r="C70" s="128">
        <v>0</v>
      </c>
      <c r="D70" s="129">
        <v>60000</v>
      </c>
      <c r="E70" s="130">
        <v>-60000</v>
      </c>
      <c r="F70" s="129">
        <f t="shared" si="10"/>
        <v>0</v>
      </c>
      <c r="G70" s="147" t="s">
        <v>117</v>
      </c>
      <c r="H70" s="129">
        <v>0</v>
      </c>
      <c r="I70" s="129">
        <v>0</v>
      </c>
      <c r="J70" s="129">
        <v>0</v>
      </c>
      <c r="K70" s="129">
        <v>0</v>
      </c>
      <c r="L70" s="132" t="s">
        <v>14</v>
      </c>
    </row>
    <row r="71" spans="1:12" ht="32.25" customHeight="1" x14ac:dyDescent="0.25">
      <c r="A71" s="199"/>
      <c r="B71" s="203"/>
      <c r="C71" s="29">
        <v>100000</v>
      </c>
      <c r="D71" s="11">
        <v>100000</v>
      </c>
      <c r="E71" s="12">
        <v>0</v>
      </c>
      <c r="F71" s="11">
        <f t="shared" si="10"/>
        <v>100000</v>
      </c>
      <c r="G71" s="35" t="s">
        <v>118</v>
      </c>
      <c r="H71" s="11">
        <v>100000</v>
      </c>
      <c r="I71" s="11">
        <v>0</v>
      </c>
      <c r="J71" s="11">
        <v>0</v>
      </c>
      <c r="K71" s="11">
        <v>0</v>
      </c>
      <c r="L71" s="36" t="s">
        <v>14</v>
      </c>
    </row>
    <row r="72" spans="1:12" ht="25.15" customHeight="1" x14ac:dyDescent="0.25">
      <c r="A72" s="199"/>
      <c r="B72" s="203"/>
      <c r="C72" s="128">
        <v>0</v>
      </c>
      <c r="D72" s="129">
        <v>50000</v>
      </c>
      <c r="E72" s="130">
        <v>-50000</v>
      </c>
      <c r="F72" s="129">
        <f t="shared" si="10"/>
        <v>0</v>
      </c>
      <c r="G72" s="147" t="s">
        <v>119</v>
      </c>
      <c r="H72" s="129">
        <v>0</v>
      </c>
      <c r="I72" s="129">
        <v>0</v>
      </c>
      <c r="J72" s="129">
        <v>0</v>
      </c>
      <c r="K72" s="129">
        <v>0</v>
      </c>
      <c r="L72" s="132" t="s">
        <v>14</v>
      </c>
    </row>
    <row r="73" spans="1:12" ht="23.45" customHeight="1" x14ac:dyDescent="0.25">
      <c r="A73" s="199"/>
      <c r="B73" s="203"/>
      <c r="C73" s="128">
        <v>0</v>
      </c>
      <c r="D73" s="129">
        <v>50000</v>
      </c>
      <c r="E73" s="130">
        <v>-50000</v>
      </c>
      <c r="F73" s="129">
        <f t="shared" si="10"/>
        <v>0</v>
      </c>
      <c r="G73" s="147" t="s">
        <v>121</v>
      </c>
      <c r="H73" s="129">
        <v>0</v>
      </c>
      <c r="I73" s="129">
        <v>0</v>
      </c>
      <c r="J73" s="129">
        <v>0</v>
      </c>
      <c r="K73" s="129">
        <v>0</v>
      </c>
      <c r="L73" s="132" t="s">
        <v>14</v>
      </c>
    </row>
    <row r="74" spans="1:12" ht="22.15" customHeight="1" x14ac:dyDescent="0.25">
      <c r="A74" s="199"/>
      <c r="B74" s="203"/>
      <c r="C74" s="128">
        <v>0</v>
      </c>
      <c r="D74" s="129">
        <v>20000</v>
      </c>
      <c r="E74" s="130">
        <v>-20000</v>
      </c>
      <c r="F74" s="129">
        <f t="shared" si="10"/>
        <v>0</v>
      </c>
      <c r="G74" s="147" t="s">
        <v>123</v>
      </c>
      <c r="H74" s="129">
        <v>0</v>
      </c>
      <c r="I74" s="129">
        <v>0</v>
      </c>
      <c r="J74" s="129">
        <v>0</v>
      </c>
      <c r="K74" s="129">
        <v>0</v>
      </c>
      <c r="L74" s="132" t="s">
        <v>14</v>
      </c>
    </row>
    <row r="75" spans="1:12" ht="27" customHeight="1" x14ac:dyDescent="0.25">
      <c r="A75" s="199"/>
      <c r="B75" s="203"/>
      <c r="C75" s="128">
        <v>0</v>
      </c>
      <c r="D75" s="129">
        <v>20000</v>
      </c>
      <c r="E75" s="130">
        <v>-20000</v>
      </c>
      <c r="F75" s="129">
        <f t="shared" si="10"/>
        <v>0</v>
      </c>
      <c r="G75" s="147" t="s">
        <v>237</v>
      </c>
      <c r="H75" s="129">
        <v>0</v>
      </c>
      <c r="I75" s="129">
        <v>0</v>
      </c>
      <c r="J75" s="129">
        <v>0</v>
      </c>
      <c r="K75" s="129">
        <v>0</v>
      </c>
      <c r="L75" s="132" t="s">
        <v>14</v>
      </c>
    </row>
    <row r="76" spans="1:12" ht="25.15" customHeight="1" x14ac:dyDescent="0.25">
      <c r="A76" s="199"/>
      <c r="B76" s="203"/>
      <c r="C76" s="29">
        <v>50000</v>
      </c>
      <c r="D76" s="11">
        <v>50000</v>
      </c>
      <c r="E76" s="12">
        <v>0</v>
      </c>
      <c r="F76" s="11">
        <f t="shared" si="10"/>
        <v>50000</v>
      </c>
      <c r="G76" s="35" t="s">
        <v>124</v>
      </c>
      <c r="H76" s="11">
        <v>50000</v>
      </c>
      <c r="I76" s="11">
        <v>0</v>
      </c>
      <c r="J76" s="11">
        <v>0</v>
      </c>
      <c r="K76" s="11">
        <v>0</v>
      </c>
      <c r="L76" s="36" t="s">
        <v>14</v>
      </c>
    </row>
    <row r="77" spans="1:12" ht="25.9" customHeight="1" x14ac:dyDescent="0.25">
      <c r="A77" s="199"/>
      <c r="B77" s="203"/>
      <c r="C77" s="29">
        <v>20000</v>
      </c>
      <c r="D77" s="11">
        <v>20000</v>
      </c>
      <c r="E77" s="24">
        <v>0</v>
      </c>
      <c r="F77" s="23">
        <f t="shared" si="10"/>
        <v>20000</v>
      </c>
      <c r="G77" s="35" t="s">
        <v>155</v>
      </c>
      <c r="H77" s="11">
        <v>20000</v>
      </c>
      <c r="I77" s="11">
        <v>0</v>
      </c>
      <c r="J77" s="11">
        <v>0</v>
      </c>
      <c r="K77" s="11">
        <v>0</v>
      </c>
      <c r="L77" s="36" t="s">
        <v>14</v>
      </c>
    </row>
    <row r="78" spans="1:12" ht="25.9" customHeight="1" x14ac:dyDescent="0.25">
      <c r="A78" s="199"/>
      <c r="B78" s="203"/>
      <c r="C78" s="128">
        <v>0</v>
      </c>
      <c r="D78" s="129">
        <v>20000</v>
      </c>
      <c r="E78" s="130">
        <v>-20000</v>
      </c>
      <c r="F78" s="129">
        <f t="shared" si="10"/>
        <v>0</v>
      </c>
      <c r="G78" s="147" t="s">
        <v>277</v>
      </c>
      <c r="H78" s="129">
        <v>0</v>
      </c>
      <c r="I78" s="129">
        <v>0</v>
      </c>
      <c r="J78" s="129">
        <v>0</v>
      </c>
      <c r="K78" s="129">
        <v>0</v>
      </c>
      <c r="L78" s="132" t="s">
        <v>14</v>
      </c>
    </row>
    <row r="79" spans="1:12" ht="21" customHeight="1" x14ac:dyDescent="0.25">
      <c r="A79" s="199"/>
      <c r="B79" s="203"/>
      <c r="C79" s="29">
        <v>80000</v>
      </c>
      <c r="D79" s="11">
        <v>80000</v>
      </c>
      <c r="E79" s="12">
        <v>0</v>
      </c>
      <c r="F79" s="11">
        <f t="shared" si="10"/>
        <v>80000</v>
      </c>
      <c r="G79" s="97" t="s">
        <v>288</v>
      </c>
      <c r="H79" s="11">
        <v>80000</v>
      </c>
      <c r="I79" s="11">
        <v>0</v>
      </c>
      <c r="J79" s="11">
        <v>0</v>
      </c>
      <c r="K79" s="11">
        <v>0</v>
      </c>
      <c r="L79" s="36" t="s">
        <v>14</v>
      </c>
    </row>
    <row r="80" spans="1:12" ht="21" customHeight="1" x14ac:dyDescent="0.25">
      <c r="A80" s="199"/>
      <c r="B80" s="203"/>
      <c r="C80" s="29">
        <v>432595</v>
      </c>
      <c r="D80" s="11">
        <v>32595</v>
      </c>
      <c r="E80" s="12">
        <v>0</v>
      </c>
      <c r="F80" s="11">
        <f t="shared" si="10"/>
        <v>32595</v>
      </c>
      <c r="G80" s="31" t="s">
        <v>295</v>
      </c>
      <c r="H80" s="11">
        <v>32595</v>
      </c>
      <c r="I80" s="11">
        <v>0</v>
      </c>
      <c r="J80" s="11">
        <v>0</v>
      </c>
      <c r="K80" s="11">
        <v>0</v>
      </c>
      <c r="L80" s="36" t="s">
        <v>14</v>
      </c>
    </row>
    <row r="81" spans="1:12" ht="21" customHeight="1" x14ac:dyDescent="0.25">
      <c r="A81" s="199"/>
      <c r="B81" s="203"/>
      <c r="C81" s="29">
        <v>32595</v>
      </c>
      <c r="D81" s="11">
        <v>13038</v>
      </c>
      <c r="E81" s="12">
        <v>0</v>
      </c>
      <c r="F81" s="11">
        <v>13038</v>
      </c>
      <c r="G81" s="31" t="s">
        <v>294</v>
      </c>
      <c r="H81" s="11">
        <v>13038</v>
      </c>
      <c r="I81" s="11">
        <v>0</v>
      </c>
      <c r="J81" s="11">
        <v>0</v>
      </c>
      <c r="K81" s="11">
        <v>0</v>
      </c>
      <c r="L81" s="36" t="s">
        <v>14</v>
      </c>
    </row>
    <row r="82" spans="1:12" ht="13.9" customHeight="1" x14ac:dyDescent="0.25">
      <c r="A82" s="199"/>
      <c r="B82" s="203"/>
      <c r="C82" s="191" t="s">
        <v>83</v>
      </c>
      <c r="D82" s="192"/>
      <c r="E82" s="192"/>
      <c r="F82" s="192"/>
      <c r="G82" s="192"/>
      <c r="H82" s="192"/>
      <c r="I82" s="192"/>
      <c r="J82" s="192"/>
      <c r="K82" s="192"/>
      <c r="L82" s="193"/>
    </row>
    <row r="83" spans="1:12" ht="32.450000000000003" customHeight="1" x14ac:dyDescent="0.25">
      <c r="A83" s="199"/>
      <c r="B83" s="203"/>
      <c r="C83" s="76">
        <v>33897.620000000003</v>
      </c>
      <c r="D83" s="38">
        <v>33897.620000000003</v>
      </c>
      <c r="E83" s="12">
        <v>0</v>
      </c>
      <c r="F83" s="11">
        <f>D83+E83</f>
        <v>33897.620000000003</v>
      </c>
      <c r="G83" s="35" t="s">
        <v>84</v>
      </c>
      <c r="H83" s="11">
        <v>33897.620000000003</v>
      </c>
      <c r="I83" s="11">
        <v>0</v>
      </c>
      <c r="J83" s="11">
        <v>0</v>
      </c>
      <c r="K83" s="11">
        <v>0</v>
      </c>
      <c r="L83" s="36" t="s">
        <v>14</v>
      </c>
    </row>
    <row r="84" spans="1:12" ht="27.6" customHeight="1" x14ac:dyDescent="0.25">
      <c r="A84" s="199"/>
      <c r="B84" s="203"/>
      <c r="C84" s="76">
        <v>21414.36</v>
      </c>
      <c r="D84" s="38">
        <v>21414.36</v>
      </c>
      <c r="E84" s="12">
        <v>0</v>
      </c>
      <c r="F84" s="11">
        <f>D84+E84</f>
        <v>21414.36</v>
      </c>
      <c r="G84" s="35" t="s">
        <v>226</v>
      </c>
      <c r="H84" s="11">
        <v>21414.36</v>
      </c>
      <c r="I84" s="11">
        <v>0</v>
      </c>
      <c r="J84" s="11">
        <v>0</v>
      </c>
      <c r="K84" s="11">
        <v>0</v>
      </c>
      <c r="L84" s="36" t="s">
        <v>14</v>
      </c>
    </row>
    <row r="85" spans="1:12" ht="17.45" customHeight="1" x14ac:dyDescent="0.25">
      <c r="A85" s="199"/>
      <c r="B85" s="203"/>
      <c r="C85" s="191" t="s">
        <v>85</v>
      </c>
      <c r="D85" s="192"/>
      <c r="E85" s="192"/>
      <c r="F85" s="192"/>
      <c r="G85" s="192"/>
      <c r="H85" s="192"/>
      <c r="I85" s="192"/>
      <c r="J85" s="192"/>
      <c r="K85" s="192"/>
      <c r="L85" s="193"/>
    </row>
    <row r="86" spans="1:12" ht="32.450000000000003" customHeight="1" x14ac:dyDescent="0.25">
      <c r="A86" s="199"/>
      <c r="B86" s="203"/>
      <c r="C86" s="76">
        <v>16948.810000000001</v>
      </c>
      <c r="D86" s="38">
        <v>16948.810000000001</v>
      </c>
      <c r="E86" s="12">
        <v>0</v>
      </c>
      <c r="F86" s="11">
        <f>D86+E86</f>
        <v>16948.810000000001</v>
      </c>
      <c r="G86" s="35" t="s">
        <v>154</v>
      </c>
      <c r="H86" s="11">
        <v>16948.810000000001</v>
      </c>
      <c r="I86" s="11">
        <v>0</v>
      </c>
      <c r="J86" s="11">
        <v>0</v>
      </c>
      <c r="K86" s="11">
        <v>0</v>
      </c>
      <c r="L86" s="36" t="s">
        <v>28</v>
      </c>
    </row>
    <row r="87" spans="1:12" ht="25.9" customHeight="1" x14ac:dyDescent="0.25">
      <c r="A87" s="199"/>
      <c r="B87" s="203"/>
      <c r="C87" s="76">
        <v>10707.18</v>
      </c>
      <c r="D87" s="38">
        <v>10707.18</v>
      </c>
      <c r="E87" s="12">
        <v>0</v>
      </c>
      <c r="F87" s="11">
        <f t="shared" ref="F87:F88" si="11">D87+E87</f>
        <v>10707.18</v>
      </c>
      <c r="G87" s="35" t="s">
        <v>153</v>
      </c>
      <c r="H87" s="11">
        <v>10707.18</v>
      </c>
      <c r="I87" s="11">
        <v>0</v>
      </c>
      <c r="J87" s="11">
        <v>0</v>
      </c>
      <c r="K87" s="11">
        <v>0</v>
      </c>
      <c r="L87" s="36" t="s">
        <v>28</v>
      </c>
    </row>
    <row r="88" spans="1:12" ht="32.450000000000003" customHeight="1" x14ac:dyDescent="0.25">
      <c r="A88" s="200"/>
      <c r="B88" s="204"/>
      <c r="C88" s="29">
        <v>15857.79</v>
      </c>
      <c r="D88" s="11">
        <v>15857.79</v>
      </c>
      <c r="E88" s="12">
        <v>0</v>
      </c>
      <c r="F88" s="11">
        <f t="shared" si="11"/>
        <v>15857.79</v>
      </c>
      <c r="G88" s="30" t="s">
        <v>333</v>
      </c>
      <c r="H88" s="11">
        <v>15857.79</v>
      </c>
      <c r="I88" s="11">
        <v>0</v>
      </c>
      <c r="J88" s="11">
        <v>0</v>
      </c>
      <c r="K88" s="11">
        <v>0</v>
      </c>
      <c r="L88" s="36" t="s">
        <v>28</v>
      </c>
    </row>
    <row r="89" spans="1:12" ht="17.25" customHeight="1" x14ac:dyDescent="0.25">
      <c r="A89" s="185" t="s">
        <v>25</v>
      </c>
      <c r="B89" s="185"/>
      <c r="C89" s="107">
        <f>C90</f>
        <v>14748293.560000001</v>
      </c>
      <c r="D89" s="107">
        <f t="shared" ref="D89:K89" si="12">D90</f>
        <v>10000</v>
      </c>
      <c r="E89" s="107">
        <f t="shared" si="12"/>
        <v>10000</v>
      </c>
      <c r="F89" s="107">
        <f t="shared" si="12"/>
        <v>20000</v>
      </c>
      <c r="G89" s="107"/>
      <c r="H89" s="107">
        <f t="shared" si="12"/>
        <v>20000</v>
      </c>
      <c r="I89" s="107">
        <f t="shared" si="12"/>
        <v>0</v>
      </c>
      <c r="J89" s="107">
        <f t="shared" si="12"/>
        <v>0</v>
      </c>
      <c r="K89" s="107">
        <f t="shared" si="12"/>
        <v>0</v>
      </c>
      <c r="L89" s="10"/>
    </row>
    <row r="90" spans="1:12" ht="50.25" customHeight="1" x14ac:dyDescent="0.25">
      <c r="A90" s="137" t="s">
        <v>55</v>
      </c>
      <c r="B90" s="131" t="s">
        <v>312</v>
      </c>
      <c r="C90" s="128">
        <f>15706800-10450000+9491493.56</f>
        <v>14748293.560000001</v>
      </c>
      <c r="D90" s="129">
        <v>10000</v>
      </c>
      <c r="E90" s="130">
        <v>10000</v>
      </c>
      <c r="F90" s="129">
        <f>D90+E90</f>
        <v>20000</v>
      </c>
      <c r="G90" s="131" t="s">
        <v>191</v>
      </c>
      <c r="H90" s="129">
        <v>20000</v>
      </c>
      <c r="I90" s="129">
        <v>0</v>
      </c>
      <c r="J90" s="129">
        <v>0</v>
      </c>
      <c r="K90" s="129">
        <v>0</v>
      </c>
      <c r="L90" s="132" t="s">
        <v>28</v>
      </c>
    </row>
    <row r="91" spans="1:12" ht="20.25" customHeight="1" x14ac:dyDescent="0.25">
      <c r="A91" s="185" t="s">
        <v>275</v>
      </c>
      <c r="B91" s="185"/>
      <c r="C91" s="107">
        <f>C92+C94+C96</f>
        <v>85837</v>
      </c>
      <c r="D91" s="107">
        <f t="shared" ref="D91:K91" si="13">D92+D94+D96</f>
        <v>55350</v>
      </c>
      <c r="E91" s="107">
        <f t="shared" si="13"/>
        <v>30487</v>
      </c>
      <c r="F91" s="107">
        <f t="shared" si="13"/>
        <v>85837</v>
      </c>
      <c r="G91" s="107"/>
      <c r="H91" s="107">
        <f t="shared" si="13"/>
        <v>85837</v>
      </c>
      <c r="I91" s="107">
        <f t="shared" si="13"/>
        <v>0</v>
      </c>
      <c r="J91" s="107">
        <f t="shared" si="13"/>
        <v>0</v>
      </c>
      <c r="K91" s="107">
        <f t="shared" si="13"/>
        <v>0</v>
      </c>
      <c r="L91" s="10"/>
    </row>
    <row r="92" spans="1:12" ht="32.450000000000003" customHeight="1" x14ac:dyDescent="0.25">
      <c r="A92" s="111" t="s">
        <v>215</v>
      </c>
      <c r="B92" s="101" t="s">
        <v>276</v>
      </c>
      <c r="C92" s="29">
        <v>55350</v>
      </c>
      <c r="D92" s="11">
        <v>55350</v>
      </c>
      <c r="E92" s="12">
        <v>0</v>
      </c>
      <c r="F92" s="11">
        <v>55350</v>
      </c>
      <c r="G92" s="101" t="s">
        <v>308</v>
      </c>
      <c r="H92" s="11">
        <v>55350</v>
      </c>
      <c r="I92" s="11">
        <v>0</v>
      </c>
      <c r="J92" s="11">
        <v>0</v>
      </c>
      <c r="K92" s="11">
        <v>0</v>
      </c>
      <c r="L92" s="36" t="s">
        <v>14</v>
      </c>
    </row>
    <row r="93" spans="1:12" ht="18.600000000000001" customHeight="1" x14ac:dyDescent="0.25">
      <c r="A93" s="232" t="s">
        <v>57</v>
      </c>
      <c r="B93" s="229" t="s">
        <v>332</v>
      </c>
      <c r="C93" s="235" t="s">
        <v>336</v>
      </c>
      <c r="D93" s="236"/>
      <c r="E93" s="236"/>
      <c r="F93" s="236"/>
      <c r="G93" s="236"/>
      <c r="H93" s="236"/>
      <c r="I93" s="236"/>
      <c r="J93" s="236"/>
      <c r="K93" s="236"/>
      <c r="L93" s="237"/>
    </row>
    <row r="94" spans="1:12" ht="32.450000000000003" customHeight="1" x14ac:dyDescent="0.25">
      <c r="A94" s="233"/>
      <c r="B94" s="230"/>
      <c r="C94" s="128">
        <v>13000</v>
      </c>
      <c r="D94" s="129">
        <v>0</v>
      </c>
      <c r="E94" s="130">
        <v>13000</v>
      </c>
      <c r="F94" s="129">
        <v>13000</v>
      </c>
      <c r="G94" s="131" t="s">
        <v>334</v>
      </c>
      <c r="H94" s="129">
        <v>13000</v>
      </c>
      <c r="I94" s="129">
        <v>0</v>
      </c>
      <c r="J94" s="129">
        <v>0</v>
      </c>
      <c r="K94" s="129">
        <v>0</v>
      </c>
      <c r="L94" s="132" t="s">
        <v>14</v>
      </c>
    </row>
    <row r="95" spans="1:12" ht="22.15" customHeight="1" x14ac:dyDescent="0.25">
      <c r="A95" s="233"/>
      <c r="B95" s="230"/>
      <c r="C95" s="235" t="s">
        <v>85</v>
      </c>
      <c r="D95" s="236"/>
      <c r="E95" s="236"/>
      <c r="F95" s="236"/>
      <c r="G95" s="236"/>
      <c r="H95" s="236"/>
      <c r="I95" s="236"/>
      <c r="J95" s="236"/>
      <c r="K95" s="236"/>
      <c r="L95" s="237"/>
    </row>
    <row r="96" spans="1:12" ht="32.450000000000003" customHeight="1" x14ac:dyDescent="0.25">
      <c r="A96" s="234"/>
      <c r="B96" s="231"/>
      <c r="C96" s="128">
        <v>17487</v>
      </c>
      <c r="D96" s="129">
        <v>0</v>
      </c>
      <c r="E96" s="130">
        <v>17487</v>
      </c>
      <c r="F96" s="129">
        <v>17487</v>
      </c>
      <c r="G96" s="131" t="s">
        <v>337</v>
      </c>
      <c r="H96" s="129">
        <v>17487</v>
      </c>
      <c r="I96" s="129">
        <v>0</v>
      </c>
      <c r="J96" s="129">
        <v>0</v>
      </c>
      <c r="K96" s="129">
        <v>0</v>
      </c>
      <c r="L96" s="132" t="s">
        <v>28</v>
      </c>
    </row>
    <row r="97" spans="1:12" ht="13.15" customHeight="1" x14ac:dyDescent="0.25">
      <c r="A97" s="183" t="s">
        <v>111</v>
      </c>
      <c r="B97" s="189"/>
      <c r="C97" s="8">
        <f>C98</f>
        <v>30000</v>
      </c>
      <c r="D97" s="8">
        <f t="shared" ref="D97:K97" si="14">D98</f>
        <v>30000</v>
      </c>
      <c r="E97" s="8">
        <f t="shared" si="14"/>
        <v>0</v>
      </c>
      <c r="F97" s="8">
        <f t="shared" si="14"/>
        <v>30000</v>
      </c>
      <c r="G97" s="8"/>
      <c r="H97" s="8">
        <f t="shared" si="14"/>
        <v>30000</v>
      </c>
      <c r="I97" s="8">
        <f t="shared" si="14"/>
        <v>0</v>
      </c>
      <c r="J97" s="8">
        <f t="shared" si="14"/>
        <v>0</v>
      </c>
      <c r="K97" s="8">
        <f t="shared" si="14"/>
        <v>0</v>
      </c>
      <c r="L97" s="10"/>
    </row>
    <row r="98" spans="1:12" ht="32.450000000000003" customHeight="1" x14ac:dyDescent="0.25">
      <c r="A98" s="86" t="s">
        <v>319</v>
      </c>
      <c r="B98" s="44" t="s">
        <v>195</v>
      </c>
      <c r="C98" s="38">
        <v>30000</v>
      </c>
      <c r="D98" s="38">
        <v>30000</v>
      </c>
      <c r="E98" s="73">
        <v>0</v>
      </c>
      <c r="F98" s="38">
        <f>D98+E98</f>
        <v>30000</v>
      </c>
      <c r="G98" s="44" t="s">
        <v>112</v>
      </c>
      <c r="H98" s="38">
        <v>30000</v>
      </c>
      <c r="I98" s="38">
        <v>0</v>
      </c>
      <c r="J98" s="38">
        <v>0</v>
      </c>
      <c r="K98" s="38">
        <v>0</v>
      </c>
      <c r="L98" s="36" t="s">
        <v>14</v>
      </c>
    </row>
    <row r="99" spans="1:12" ht="13.15" customHeight="1" x14ac:dyDescent="0.25">
      <c r="A99" s="183" t="s">
        <v>34</v>
      </c>
      <c r="B99" s="184"/>
      <c r="C99" s="105">
        <f>C100</f>
        <v>30000</v>
      </c>
      <c r="D99" s="105">
        <f t="shared" ref="D99:K99" si="15">D100</f>
        <v>30000</v>
      </c>
      <c r="E99" s="105">
        <f t="shared" si="15"/>
        <v>0</v>
      </c>
      <c r="F99" s="105">
        <f t="shared" si="15"/>
        <v>30000</v>
      </c>
      <c r="G99" s="105"/>
      <c r="H99" s="105">
        <f t="shared" si="15"/>
        <v>30000</v>
      </c>
      <c r="I99" s="105">
        <f t="shared" si="15"/>
        <v>0</v>
      </c>
      <c r="J99" s="105">
        <f t="shared" si="15"/>
        <v>0</v>
      </c>
      <c r="K99" s="105">
        <f t="shared" si="15"/>
        <v>0</v>
      </c>
      <c r="L99" s="105"/>
    </row>
    <row r="100" spans="1:12" ht="29.45" customHeight="1" x14ac:dyDescent="0.25">
      <c r="A100" s="63" t="s">
        <v>65</v>
      </c>
      <c r="B100" s="44" t="s">
        <v>125</v>
      </c>
      <c r="C100" s="38">
        <v>30000</v>
      </c>
      <c r="D100" s="11">
        <v>30000</v>
      </c>
      <c r="E100" s="12">
        <v>0</v>
      </c>
      <c r="F100" s="11">
        <f>D100+E100</f>
        <v>30000</v>
      </c>
      <c r="G100" s="44" t="s">
        <v>126</v>
      </c>
      <c r="H100" s="14">
        <v>30000</v>
      </c>
      <c r="I100" s="14">
        <v>0</v>
      </c>
      <c r="J100" s="14">
        <v>0</v>
      </c>
      <c r="K100" s="14">
        <v>0</v>
      </c>
      <c r="L100" s="36" t="s">
        <v>14</v>
      </c>
    </row>
    <row r="101" spans="1:12" x14ac:dyDescent="0.25">
      <c r="A101" s="181" t="s">
        <v>36</v>
      </c>
      <c r="B101" s="182"/>
      <c r="C101" s="8">
        <f>C102</f>
        <v>21821413</v>
      </c>
      <c r="D101" s="16">
        <f>D102</f>
        <v>990000</v>
      </c>
      <c r="E101" s="16">
        <f t="shared" ref="E101:F101" si="16">E102</f>
        <v>0</v>
      </c>
      <c r="F101" s="16">
        <f t="shared" si="16"/>
        <v>990000</v>
      </c>
      <c r="G101" s="17"/>
      <c r="H101" s="9">
        <f>H102</f>
        <v>990000</v>
      </c>
      <c r="I101" s="9">
        <f>I102</f>
        <v>0</v>
      </c>
      <c r="J101" s="9">
        <f t="shared" ref="J101:K101" si="17">J102</f>
        <v>0</v>
      </c>
      <c r="K101" s="9">
        <f t="shared" si="17"/>
        <v>0</v>
      </c>
      <c r="L101" s="10"/>
    </row>
    <row r="102" spans="1:12" ht="24" customHeight="1" x14ac:dyDescent="0.25">
      <c r="A102" s="37" t="s">
        <v>320</v>
      </c>
      <c r="B102" s="44" t="s">
        <v>37</v>
      </c>
      <c r="C102" s="38">
        <f>18524000-50000+2542413+315000+490000</f>
        <v>21821413</v>
      </c>
      <c r="D102" s="110">
        <f>500000+490000</f>
        <v>990000</v>
      </c>
      <c r="E102" s="12">
        <v>0</v>
      </c>
      <c r="F102" s="11">
        <f>D102+E102</f>
        <v>990000</v>
      </c>
      <c r="G102" s="30" t="s">
        <v>38</v>
      </c>
      <c r="H102" s="14">
        <f>F102</f>
        <v>990000</v>
      </c>
      <c r="I102" s="14">
        <v>0</v>
      </c>
      <c r="J102" s="14">
        <v>0</v>
      </c>
      <c r="K102" s="14">
        <v>0</v>
      </c>
      <c r="L102" s="36" t="s">
        <v>28</v>
      </c>
    </row>
    <row r="103" spans="1:12" ht="22.15" customHeight="1" x14ac:dyDescent="0.25">
      <c r="A103" s="183" t="s">
        <v>39</v>
      </c>
      <c r="B103" s="189"/>
      <c r="C103" s="8">
        <f>C104</f>
        <v>1300000.03</v>
      </c>
      <c r="D103" s="8">
        <f t="shared" ref="D103:F103" si="18">D104</f>
        <v>1267344.51</v>
      </c>
      <c r="E103" s="8">
        <f t="shared" si="18"/>
        <v>-1267344.51</v>
      </c>
      <c r="F103" s="8">
        <f t="shared" si="18"/>
        <v>0</v>
      </c>
      <c r="G103" s="43"/>
      <c r="H103" s="9">
        <f>H104</f>
        <v>0</v>
      </c>
      <c r="I103" s="9">
        <f t="shared" ref="I103:K103" si="19">I104</f>
        <v>0</v>
      </c>
      <c r="J103" s="9">
        <f t="shared" si="19"/>
        <v>0</v>
      </c>
      <c r="K103" s="9">
        <f t="shared" si="19"/>
        <v>0</v>
      </c>
      <c r="L103" s="10"/>
    </row>
    <row r="104" spans="1:12" ht="50.45" customHeight="1" x14ac:dyDescent="0.25">
      <c r="A104" s="150" t="s">
        <v>69</v>
      </c>
      <c r="B104" s="158" t="s">
        <v>40</v>
      </c>
      <c r="C104" s="134">
        <v>1300000.03</v>
      </c>
      <c r="D104" s="129">
        <f>285000+982344.51</f>
        <v>1267344.51</v>
      </c>
      <c r="E104" s="130">
        <v>-1267344.51</v>
      </c>
      <c r="F104" s="129">
        <f t="shared" ref="F104" si="20">D104+E104</f>
        <v>0</v>
      </c>
      <c r="G104" s="135" t="s">
        <v>152</v>
      </c>
      <c r="H104" s="140">
        <f>0</f>
        <v>0</v>
      </c>
      <c r="I104" s="140">
        <v>0</v>
      </c>
      <c r="J104" s="140">
        <v>0</v>
      </c>
      <c r="K104" s="140">
        <v>0</v>
      </c>
      <c r="L104" s="132" t="s">
        <v>28</v>
      </c>
    </row>
    <row r="105" spans="1:12" ht="21.6" customHeight="1" x14ac:dyDescent="0.25">
      <c r="A105" s="181" t="s">
        <v>41</v>
      </c>
      <c r="B105" s="182"/>
      <c r="C105" s="8">
        <f>C106</f>
        <v>2461659.7599999998</v>
      </c>
      <c r="D105" s="8">
        <f t="shared" ref="D105:K105" si="21">D106</f>
        <v>66564.759999999995</v>
      </c>
      <c r="E105" s="8">
        <f t="shared" si="21"/>
        <v>0</v>
      </c>
      <c r="F105" s="8">
        <f t="shared" si="21"/>
        <v>66564.759999999995</v>
      </c>
      <c r="G105" s="8"/>
      <c r="H105" s="8">
        <f t="shared" si="21"/>
        <v>66564.759999999995</v>
      </c>
      <c r="I105" s="8">
        <f t="shared" si="21"/>
        <v>0</v>
      </c>
      <c r="J105" s="8">
        <f t="shared" si="21"/>
        <v>0</v>
      </c>
      <c r="K105" s="8">
        <f t="shared" si="21"/>
        <v>0</v>
      </c>
      <c r="L105" s="10"/>
    </row>
    <row r="106" spans="1:12" ht="37.9" customHeight="1" x14ac:dyDescent="0.25">
      <c r="A106" s="63" t="s">
        <v>216</v>
      </c>
      <c r="B106" s="44" t="s">
        <v>42</v>
      </c>
      <c r="C106" s="38">
        <v>2461659.7599999998</v>
      </c>
      <c r="D106" s="11">
        <v>66564.759999999995</v>
      </c>
      <c r="E106" s="12">
        <v>0</v>
      </c>
      <c r="F106" s="11">
        <f>D106+E106</f>
        <v>66564.759999999995</v>
      </c>
      <c r="G106" s="30" t="s">
        <v>43</v>
      </c>
      <c r="H106" s="14">
        <v>66564.759999999995</v>
      </c>
      <c r="I106" s="14">
        <v>0</v>
      </c>
      <c r="J106" s="14">
        <v>0</v>
      </c>
      <c r="K106" s="14">
        <v>0</v>
      </c>
      <c r="L106" s="36" t="s">
        <v>14</v>
      </c>
    </row>
    <row r="107" spans="1:12" ht="24.6" customHeight="1" x14ac:dyDescent="0.25">
      <c r="A107" s="181" t="s">
        <v>217</v>
      </c>
      <c r="B107" s="228"/>
      <c r="C107" s="8">
        <f>C108</f>
        <v>700000</v>
      </c>
      <c r="D107" s="8">
        <f t="shared" ref="D107:F107" si="22">D108</f>
        <v>700000</v>
      </c>
      <c r="E107" s="8">
        <f t="shared" si="22"/>
        <v>0</v>
      </c>
      <c r="F107" s="8">
        <f t="shared" si="22"/>
        <v>700000</v>
      </c>
      <c r="G107" s="95"/>
      <c r="H107" s="8">
        <f>H108</f>
        <v>550000</v>
      </c>
      <c r="I107" s="8">
        <f t="shared" ref="I107:K107" si="23">I108</f>
        <v>0</v>
      </c>
      <c r="J107" s="8">
        <f t="shared" si="23"/>
        <v>150000</v>
      </c>
      <c r="K107" s="8">
        <f t="shared" si="23"/>
        <v>0</v>
      </c>
      <c r="L107" s="95"/>
    </row>
    <row r="108" spans="1:12" ht="24.6" customHeight="1" x14ac:dyDescent="0.25">
      <c r="A108" s="63" t="s">
        <v>71</v>
      </c>
      <c r="B108" s="44" t="s">
        <v>218</v>
      </c>
      <c r="C108" s="38">
        <f>350000+150000+200000</f>
        <v>700000</v>
      </c>
      <c r="D108" s="11">
        <v>700000</v>
      </c>
      <c r="E108" s="12">
        <v>0</v>
      </c>
      <c r="F108" s="11">
        <f>D108+E108</f>
        <v>700000</v>
      </c>
      <c r="G108" s="44" t="s">
        <v>219</v>
      </c>
      <c r="H108" s="14">
        <v>550000</v>
      </c>
      <c r="I108" s="14">
        <v>0</v>
      </c>
      <c r="J108" s="14">
        <v>150000</v>
      </c>
      <c r="K108" s="14">
        <v>0</v>
      </c>
      <c r="L108" s="36" t="s">
        <v>14</v>
      </c>
    </row>
    <row r="109" spans="1:12" ht="24.6" customHeight="1" x14ac:dyDescent="0.25">
      <c r="A109" s="181" t="s">
        <v>280</v>
      </c>
      <c r="B109" s="228"/>
      <c r="C109" s="8">
        <f>C110</f>
        <v>10000</v>
      </c>
      <c r="D109" s="8">
        <f t="shared" ref="D109:K109" si="24">D110</f>
        <v>10000</v>
      </c>
      <c r="E109" s="8">
        <f t="shared" si="24"/>
        <v>0</v>
      </c>
      <c r="F109" s="8">
        <f t="shared" si="24"/>
        <v>10000</v>
      </c>
      <c r="G109" s="8"/>
      <c r="H109" s="8">
        <f t="shared" si="24"/>
        <v>10000</v>
      </c>
      <c r="I109" s="8">
        <f t="shared" si="24"/>
        <v>0</v>
      </c>
      <c r="J109" s="8">
        <f t="shared" si="24"/>
        <v>0</v>
      </c>
      <c r="K109" s="8">
        <f t="shared" si="24"/>
        <v>0</v>
      </c>
      <c r="L109" s="95"/>
    </row>
    <row r="110" spans="1:12" ht="33" customHeight="1" x14ac:dyDescent="0.25">
      <c r="A110" s="63" t="s">
        <v>72</v>
      </c>
      <c r="B110" s="44" t="s">
        <v>281</v>
      </c>
      <c r="C110" s="38">
        <v>10000</v>
      </c>
      <c r="D110" s="11">
        <v>10000</v>
      </c>
      <c r="E110" s="12">
        <v>0</v>
      </c>
      <c r="F110" s="11">
        <v>10000</v>
      </c>
      <c r="G110" s="44" t="s">
        <v>282</v>
      </c>
      <c r="H110" s="14">
        <v>10000</v>
      </c>
      <c r="I110" s="14">
        <v>0</v>
      </c>
      <c r="J110" s="14">
        <v>0</v>
      </c>
      <c r="K110" s="14">
        <v>0</v>
      </c>
      <c r="L110" s="36" t="s">
        <v>14</v>
      </c>
    </row>
    <row r="111" spans="1:12" x14ac:dyDescent="0.25">
      <c r="A111" s="181" t="s">
        <v>44</v>
      </c>
      <c r="B111" s="182"/>
      <c r="C111" s="8">
        <f>SUM(C113:C116)</f>
        <v>31771</v>
      </c>
      <c r="D111" s="8">
        <f>SUM(D113:D116)</f>
        <v>31771</v>
      </c>
      <c r="E111" s="8">
        <f>SUM(E113:E116)</f>
        <v>0</v>
      </c>
      <c r="F111" s="8">
        <f>SUM(F113:F116)</f>
        <v>31771</v>
      </c>
      <c r="G111" s="8"/>
      <c r="H111" s="8">
        <f>SUM(H113:H116)</f>
        <v>31771</v>
      </c>
      <c r="I111" s="8">
        <f>SUM(I113:I116)</f>
        <v>0</v>
      </c>
      <c r="J111" s="8">
        <f>SUM(J113:J116)</f>
        <v>0</v>
      </c>
      <c r="K111" s="8">
        <f>SUM(K113:K116)</f>
        <v>0</v>
      </c>
      <c r="L111" s="10"/>
    </row>
    <row r="112" spans="1:12" x14ac:dyDescent="0.25">
      <c r="A112" s="226" t="s">
        <v>75</v>
      </c>
      <c r="B112" s="222" t="s">
        <v>130</v>
      </c>
      <c r="C112" s="194" t="s">
        <v>86</v>
      </c>
      <c r="D112" s="195"/>
      <c r="E112" s="195"/>
      <c r="F112" s="195"/>
      <c r="G112" s="195"/>
      <c r="H112" s="195"/>
      <c r="I112" s="195"/>
      <c r="J112" s="195"/>
      <c r="K112" s="195"/>
      <c r="L112" s="196"/>
    </row>
    <row r="113" spans="1:12" ht="39" x14ac:dyDescent="0.25">
      <c r="A113" s="227"/>
      <c r="B113" s="223"/>
      <c r="C113" s="38">
        <v>10000</v>
      </c>
      <c r="D113" s="38">
        <v>10000</v>
      </c>
      <c r="E113" s="38">
        <v>0</v>
      </c>
      <c r="F113" s="38">
        <f>D113+E113</f>
        <v>10000</v>
      </c>
      <c r="G113" s="30" t="s">
        <v>87</v>
      </c>
      <c r="H113" s="38">
        <v>10000</v>
      </c>
      <c r="I113" s="14">
        <v>0</v>
      </c>
      <c r="J113" s="14">
        <v>0</v>
      </c>
      <c r="K113" s="14">
        <v>0</v>
      </c>
      <c r="L113" s="34" t="s">
        <v>14</v>
      </c>
    </row>
    <row r="114" spans="1:12" ht="21.6" customHeight="1" x14ac:dyDescent="0.25">
      <c r="A114" s="227"/>
      <c r="B114" s="223"/>
      <c r="C114" s="38">
        <f>18000-539</f>
        <v>17461</v>
      </c>
      <c r="D114" s="38">
        <v>17461</v>
      </c>
      <c r="E114" s="38">
        <v>0</v>
      </c>
      <c r="F114" s="38">
        <f>D114+E114</f>
        <v>17461</v>
      </c>
      <c r="G114" s="30" t="s">
        <v>88</v>
      </c>
      <c r="H114" s="38">
        <f>18000-539</f>
        <v>17461</v>
      </c>
      <c r="I114" s="14">
        <v>0</v>
      </c>
      <c r="J114" s="14">
        <v>0</v>
      </c>
      <c r="K114" s="14">
        <v>0</v>
      </c>
      <c r="L114" s="34" t="s">
        <v>14</v>
      </c>
    </row>
    <row r="115" spans="1:12" x14ac:dyDescent="0.25">
      <c r="A115" s="227"/>
      <c r="B115" s="223"/>
      <c r="C115" s="194" t="s">
        <v>89</v>
      </c>
      <c r="D115" s="195"/>
      <c r="E115" s="195"/>
      <c r="F115" s="195"/>
      <c r="G115" s="195"/>
      <c r="H115" s="195"/>
      <c r="I115" s="195"/>
      <c r="J115" s="195"/>
      <c r="K115" s="195"/>
      <c r="L115" s="196"/>
    </row>
    <row r="116" spans="1:12" ht="36.6" customHeight="1" x14ac:dyDescent="0.25">
      <c r="A116" s="39" t="s">
        <v>77</v>
      </c>
      <c r="B116" s="87" t="s">
        <v>306</v>
      </c>
      <c r="C116" s="38">
        <v>4310</v>
      </c>
      <c r="D116" s="11">
        <v>4310</v>
      </c>
      <c r="E116" s="12">
        <v>0</v>
      </c>
      <c r="F116" s="11">
        <v>4310</v>
      </c>
      <c r="G116" s="104" t="s">
        <v>307</v>
      </c>
      <c r="H116" s="14">
        <v>4310</v>
      </c>
      <c r="I116" s="14">
        <v>0</v>
      </c>
      <c r="J116" s="14">
        <v>0</v>
      </c>
      <c r="K116" s="14">
        <v>0</v>
      </c>
      <c r="L116" s="34" t="s">
        <v>14</v>
      </c>
    </row>
    <row r="117" spans="1:12" x14ac:dyDescent="0.25">
      <c r="A117" s="181" t="s">
        <v>46</v>
      </c>
      <c r="B117" s="182"/>
      <c r="C117" s="8">
        <f>SUM(C118:C127)</f>
        <v>19541740.199999999</v>
      </c>
      <c r="D117" s="8">
        <f>SUM(D118:D127)</f>
        <v>5979397.1600000001</v>
      </c>
      <c r="E117" s="8">
        <f>SUM(E118:E127)</f>
        <v>-16592.52</v>
      </c>
      <c r="F117" s="8">
        <f>SUM(F118:F127)</f>
        <v>5962804.6400000006</v>
      </c>
      <c r="G117" s="8"/>
      <c r="H117" s="8">
        <f>SUM(H118:H127)</f>
        <v>5962804.6400000006</v>
      </c>
      <c r="I117" s="8">
        <f>SUM(I118:I127)</f>
        <v>0</v>
      </c>
      <c r="J117" s="8">
        <f>SUM(J118:J127)</f>
        <v>0</v>
      </c>
      <c r="K117" s="8">
        <f>SUM(K118:K127)</f>
        <v>0</v>
      </c>
      <c r="L117" s="10"/>
    </row>
    <row r="118" spans="1:12" ht="42.6" customHeight="1" x14ac:dyDescent="0.25">
      <c r="A118" s="39" t="s">
        <v>78</v>
      </c>
      <c r="B118" s="28" t="s">
        <v>290</v>
      </c>
      <c r="C118" s="45">
        <f>2200000+100000+150000</f>
        <v>2450000</v>
      </c>
      <c r="D118" s="11">
        <v>100000</v>
      </c>
      <c r="E118" s="24">
        <v>0</v>
      </c>
      <c r="F118" s="23">
        <f t="shared" ref="F118:F127" si="25">D118+E118</f>
        <v>100000</v>
      </c>
      <c r="G118" s="46" t="s">
        <v>156</v>
      </c>
      <c r="H118" s="23">
        <f>F118</f>
        <v>100000</v>
      </c>
      <c r="I118" s="47">
        <v>0</v>
      </c>
      <c r="J118" s="48">
        <v>0</v>
      </c>
      <c r="K118" s="45">
        <v>0</v>
      </c>
      <c r="L118" s="34" t="s">
        <v>28</v>
      </c>
    </row>
    <row r="119" spans="1:12" ht="21" customHeight="1" x14ac:dyDescent="0.25">
      <c r="A119" s="150" t="s">
        <v>92</v>
      </c>
      <c r="B119" s="151" t="s">
        <v>318</v>
      </c>
      <c r="C119" s="152">
        <f>7000000+230000+30000-14688.84-16592.52</f>
        <v>7228718.6400000006</v>
      </c>
      <c r="D119" s="129">
        <f>3500000+230000+30000-14688.84</f>
        <v>3745311.16</v>
      </c>
      <c r="E119" s="130">
        <v>-16592.52</v>
      </c>
      <c r="F119" s="129">
        <f t="shared" si="25"/>
        <v>3728718.64</v>
      </c>
      <c r="G119" s="153" t="s">
        <v>157</v>
      </c>
      <c r="H119" s="129">
        <f>F119</f>
        <v>3728718.64</v>
      </c>
      <c r="I119" s="154">
        <v>0</v>
      </c>
      <c r="J119" s="155">
        <v>0</v>
      </c>
      <c r="K119" s="152">
        <v>0</v>
      </c>
      <c r="L119" s="132" t="s">
        <v>28</v>
      </c>
    </row>
    <row r="120" spans="1:12" ht="30" customHeight="1" x14ac:dyDescent="0.25">
      <c r="A120" s="37" t="s">
        <v>93</v>
      </c>
      <c r="B120" s="31" t="s">
        <v>193</v>
      </c>
      <c r="C120" s="51">
        <f>7150000-150000</f>
        <v>7000000</v>
      </c>
      <c r="D120" s="11">
        <f>2500000-1216956.23-211979.33</f>
        <v>1071064.44</v>
      </c>
      <c r="E120" s="12">
        <v>0</v>
      </c>
      <c r="F120" s="11">
        <f t="shared" si="25"/>
        <v>1071064.44</v>
      </c>
      <c r="G120" s="113" t="s">
        <v>214</v>
      </c>
      <c r="H120" s="11">
        <f>F120</f>
        <v>1071064.44</v>
      </c>
      <c r="I120" s="50">
        <v>0</v>
      </c>
      <c r="J120" s="114">
        <v>0</v>
      </c>
      <c r="K120" s="49">
        <v>0</v>
      </c>
      <c r="L120" s="36" t="s">
        <v>28</v>
      </c>
    </row>
    <row r="121" spans="1:12" ht="40.9" customHeight="1" x14ac:dyDescent="0.25">
      <c r="A121" s="37" t="s">
        <v>94</v>
      </c>
      <c r="B121" s="31" t="s">
        <v>204</v>
      </c>
      <c r="C121" s="51">
        <f>1835000-3957.77</f>
        <v>1831042.23</v>
      </c>
      <c r="D121" s="11">
        <f>35000-3957.77</f>
        <v>31042.23</v>
      </c>
      <c r="E121" s="12">
        <v>0</v>
      </c>
      <c r="F121" s="11">
        <f t="shared" si="25"/>
        <v>31042.23</v>
      </c>
      <c r="G121" s="113" t="s">
        <v>91</v>
      </c>
      <c r="H121" s="11">
        <f>F121</f>
        <v>31042.23</v>
      </c>
      <c r="I121" s="50">
        <v>0</v>
      </c>
      <c r="J121" s="114">
        <v>0</v>
      </c>
      <c r="K121" s="49">
        <v>0</v>
      </c>
      <c r="L121" s="36" t="s">
        <v>14</v>
      </c>
    </row>
    <row r="122" spans="1:12" ht="30" customHeight="1" x14ac:dyDescent="0.25">
      <c r="A122" s="52" t="s">
        <v>95</v>
      </c>
      <c r="B122" s="44" t="s">
        <v>196</v>
      </c>
      <c r="C122" s="51">
        <f>50000+90000</f>
        <v>140000</v>
      </c>
      <c r="D122" s="11">
        <v>140000</v>
      </c>
      <c r="E122" s="12">
        <v>0</v>
      </c>
      <c r="F122" s="11">
        <f t="shared" si="25"/>
        <v>140000</v>
      </c>
      <c r="G122" s="53" t="s">
        <v>51</v>
      </c>
      <c r="H122" s="11">
        <f>50000+90000</f>
        <v>140000</v>
      </c>
      <c r="I122" s="50">
        <v>0</v>
      </c>
      <c r="J122" s="54">
        <v>0</v>
      </c>
      <c r="K122" s="49">
        <v>0</v>
      </c>
      <c r="L122" s="36" t="s">
        <v>14</v>
      </c>
    </row>
    <row r="123" spans="1:12" ht="25.9" customHeight="1" x14ac:dyDescent="0.25">
      <c r="A123" s="88" t="s">
        <v>96</v>
      </c>
      <c r="B123" s="44" t="s">
        <v>192</v>
      </c>
      <c r="C123" s="51">
        <f>30000</f>
        <v>30000</v>
      </c>
      <c r="D123" s="11">
        <v>30000</v>
      </c>
      <c r="E123" s="12">
        <v>0</v>
      </c>
      <c r="F123" s="11">
        <f t="shared" si="25"/>
        <v>30000</v>
      </c>
      <c r="G123" s="44" t="s">
        <v>158</v>
      </c>
      <c r="H123" s="11">
        <v>30000</v>
      </c>
      <c r="I123" s="50">
        <v>0</v>
      </c>
      <c r="J123" s="54">
        <v>0</v>
      </c>
      <c r="K123" s="49">
        <v>0</v>
      </c>
      <c r="L123" s="36" t="s">
        <v>14</v>
      </c>
    </row>
    <row r="124" spans="1:12" ht="25.9" customHeight="1" x14ac:dyDescent="0.25">
      <c r="A124" s="88" t="s">
        <v>24</v>
      </c>
      <c r="B124" s="44" t="s">
        <v>243</v>
      </c>
      <c r="C124" s="51">
        <f>500000+211979.33</f>
        <v>711979.33</v>
      </c>
      <c r="D124" s="11">
        <f>500000+211979.33</f>
        <v>711979.33</v>
      </c>
      <c r="E124" s="12">
        <v>0</v>
      </c>
      <c r="F124" s="11">
        <f t="shared" si="25"/>
        <v>711979.33</v>
      </c>
      <c r="G124" s="44" t="s">
        <v>242</v>
      </c>
      <c r="H124" s="11">
        <f>500000+211979.33</f>
        <v>711979.33</v>
      </c>
      <c r="I124" s="50">
        <v>0</v>
      </c>
      <c r="J124" s="54">
        <v>0</v>
      </c>
      <c r="K124" s="49">
        <v>0</v>
      </c>
      <c r="L124" s="36" t="s">
        <v>14</v>
      </c>
    </row>
    <row r="125" spans="1:12" ht="31.5" customHeight="1" x14ac:dyDescent="0.25">
      <c r="A125" s="88" t="s">
        <v>97</v>
      </c>
      <c r="B125" s="31" t="s">
        <v>250</v>
      </c>
      <c r="C125" s="51">
        <v>30000</v>
      </c>
      <c r="D125" s="11">
        <v>30000</v>
      </c>
      <c r="E125" s="12">
        <v>0</v>
      </c>
      <c r="F125" s="11">
        <f t="shared" si="25"/>
        <v>30000</v>
      </c>
      <c r="G125" s="44" t="s">
        <v>251</v>
      </c>
      <c r="H125" s="11">
        <v>30000</v>
      </c>
      <c r="I125" s="50">
        <v>0</v>
      </c>
      <c r="J125" s="54">
        <v>0</v>
      </c>
      <c r="K125" s="49">
        <v>0</v>
      </c>
      <c r="L125" s="36" t="s">
        <v>14</v>
      </c>
    </row>
    <row r="126" spans="1:12" ht="31.5" customHeight="1" x14ac:dyDescent="0.25">
      <c r="A126" s="88" t="s">
        <v>135</v>
      </c>
      <c r="B126" s="31" t="s">
        <v>283</v>
      </c>
      <c r="C126" s="51">
        <v>20000</v>
      </c>
      <c r="D126" s="11">
        <v>20000</v>
      </c>
      <c r="E126" s="12">
        <v>0</v>
      </c>
      <c r="F126" s="11">
        <f t="shared" si="25"/>
        <v>20000</v>
      </c>
      <c r="G126" s="44" t="s">
        <v>327</v>
      </c>
      <c r="H126" s="11">
        <v>20000</v>
      </c>
      <c r="I126" s="50">
        <v>0</v>
      </c>
      <c r="J126" s="54">
        <v>0</v>
      </c>
      <c r="K126" s="49">
        <v>0</v>
      </c>
      <c r="L126" s="36" t="s">
        <v>14</v>
      </c>
    </row>
    <row r="127" spans="1:12" ht="30" customHeight="1" x14ac:dyDescent="0.25">
      <c r="A127" s="88" t="s">
        <v>136</v>
      </c>
      <c r="B127" s="44" t="s">
        <v>203</v>
      </c>
      <c r="C127" s="51">
        <v>100000</v>
      </c>
      <c r="D127" s="11">
        <v>100000</v>
      </c>
      <c r="E127" s="24">
        <v>0</v>
      </c>
      <c r="F127" s="23">
        <f t="shared" si="25"/>
        <v>100000</v>
      </c>
      <c r="G127" s="44" t="s">
        <v>133</v>
      </c>
      <c r="H127" s="11">
        <v>100000</v>
      </c>
      <c r="I127" s="50">
        <v>0</v>
      </c>
      <c r="J127" s="54">
        <v>0</v>
      </c>
      <c r="K127" s="49">
        <v>0</v>
      </c>
      <c r="L127" s="36" t="s">
        <v>14</v>
      </c>
    </row>
    <row r="128" spans="1:12" ht="19.899999999999999" customHeight="1" x14ac:dyDescent="0.25">
      <c r="A128" s="181" t="s">
        <v>284</v>
      </c>
      <c r="B128" s="182"/>
      <c r="C128" s="55">
        <f>SUM(C129:C131)</f>
        <v>648809.65</v>
      </c>
      <c r="D128" s="55">
        <f t="shared" ref="D128:K128" si="26">SUM(D129:D131)</f>
        <v>598809.65</v>
      </c>
      <c r="E128" s="55">
        <f t="shared" si="26"/>
        <v>50000</v>
      </c>
      <c r="F128" s="55">
        <f t="shared" si="26"/>
        <v>648809.65</v>
      </c>
      <c r="G128" s="55"/>
      <c r="H128" s="55">
        <f t="shared" si="26"/>
        <v>648809.65</v>
      </c>
      <c r="I128" s="55">
        <f t="shared" si="26"/>
        <v>0</v>
      </c>
      <c r="J128" s="55">
        <f t="shared" si="26"/>
        <v>0</v>
      </c>
      <c r="K128" s="55">
        <f t="shared" si="26"/>
        <v>0</v>
      </c>
      <c r="L128" s="10"/>
    </row>
    <row r="129" spans="1:30" ht="30" customHeight="1" x14ac:dyDescent="0.25">
      <c r="A129" s="159" t="s">
        <v>137</v>
      </c>
      <c r="B129" s="149" t="s">
        <v>286</v>
      </c>
      <c r="C129" s="160">
        <f>550000-130000+160000-254000</f>
        <v>326000</v>
      </c>
      <c r="D129" s="129">
        <v>580000</v>
      </c>
      <c r="E129" s="130">
        <v>-254000</v>
      </c>
      <c r="F129" s="129">
        <f>550000-130000+160000-254000</f>
        <v>326000</v>
      </c>
      <c r="G129" s="161" t="s">
        <v>340</v>
      </c>
      <c r="H129" s="129">
        <v>326000</v>
      </c>
      <c r="I129" s="129">
        <v>0</v>
      </c>
      <c r="J129" s="129">
        <v>0</v>
      </c>
      <c r="K129" s="129">
        <v>0</v>
      </c>
      <c r="L129" s="132" t="s">
        <v>14</v>
      </c>
    </row>
    <row r="130" spans="1:30" ht="30" customHeight="1" x14ac:dyDescent="0.25">
      <c r="A130" s="159" t="s">
        <v>138</v>
      </c>
      <c r="B130" s="149" t="s">
        <v>341</v>
      </c>
      <c r="C130" s="160">
        <v>304000</v>
      </c>
      <c r="D130" s="129">
        <v>0</v>
      </c>
      <c r="E130" s="130">
        <v>304000</v>
      </c>
      <c r="F130" s="129">
        <v>304000</v>
      </c>
      <c r="G130" s="161" t="s">
        <v>339</v>
      </c>
      <c r="H130" s="129">
        <v>304000</v>
      </c>
      <c r="I130" s="129">
        <v>0</v>
      </c>
      <c r="J130" s="129">
        <v>0</v>
      </c>
      <c r="K130" s="129">
        <v>0</v>
      </c>
      <c r="L130" s="132" t="s">
        <v>28</v>
      </c>
    </row>
    <row r="131" spans="1:30" ht="27" customHeight="1" x14ac:dyDescent="0.25">
      <c r="A131" s="88" t="s">
        <v>138</v>
      </c>
      <c r="B131" s="31" t="s">
        <v>291</v>
      </c>
      <c r="C131" s="51">
        <f>20000-1190.35</f>
        <v>18809.650000000001</v>
      </c>
      <c r="D131" s="11">
        <v>18809.650000000001</v>
      </c>
      <c r="E131" s="12">
        <v>0</v>
      </c>
      <c r="F131" s="11">
        <f>20000-1190.35</f>
        <v>18809.650000000001</v>
      </c>
      <c r="G131" s="30" t="s">
        <v>285</v>
      </c>
      <c r="H131" s="11">
        <f>F131</f>
        <v>18809.650000000001</v>
      </c>
      <c r="I131" s="11">
        <v>0</v>
      </c>
      <c r="J131" s="11">
        <v>0</v>
      </c>
      <c r="K131" s="11">
        <v>0</v>
      </c>
      <c r="L131" s="36" t="s">
        <v>14</v>
      </c>
    </row>
    <row r="132" spans="1:30" x14ac:dyDescent="0.25">
      <c r="A132" s="207" t="s">
        <v>52</v>
      </c>
      <c r="B132" s="208"/>
      <c r="C132" s="55">
        <f>C133</f>
        <v>20000</v>
      </c>
      <c r="D132" s="55">
        <f t="shared" ref="D132:K132" si="27">D133</f>
        <v>20000</v>
      </c>
      <c r="E132" s="55">
        <f t="shared" si="27"/>
        <v>0</v>
      </c>
      <c r="F132" s="55">
        <f t="shared" si="27"/>
        <v>20000</v>
      </c>
      <c r="G132" s="55"/>
      <c r="H132" s="55">
        <f t="shared" si="27"/>
        <v>20000</v>
      </c>
      <c r="I132" s="55">
        <f t="shared" si="27"/>
        <v>0</v>
      </c>
      <c r="J132" s="55">
        <f t="shared" si="27"/>
        <v>0</v>
      </c>
      <c r="K132" s="55">
        <f t="shared" si="27"/>
        <v>0</v>
      </c>
      <c r="L132" s="10"/>
    </row>
    <row r="133" spans="1:30" ht="24" customHeight="1" x14ac:dyDescent="0.25">
      <c r="A133" s="56" t="s">
        <v>139</v>
      </c>
      <c r="B133" s="40" t="s">
        <v>54</v>
      </c>
      <c r="C133" s="57">
        <v>20000</v>
      </c>
      <c r="D133" s="58">
        <v>20000</v>
      </c>
      <c r="E133" s="24">
        <v>0</v>
      </c>
      <c r="F133" s="23">
        <f>D133+E133</f>
        <v>20000</v>
      </c>
      <c r="G133" s="59" t="s">
        <v>145</v>
      </c>
      <c r="H133" s="23">
        <f>F133</f>
        <v>20000</v>
      </c>
      <c r="I133" s="47">
        <v>0</v>
      </c>
      <c r="J133" s="60">
        <v>0</v>
      </c>
      <c r="K133" s="45">
        <v>0</v>
      </c>
      <c r="L133" s="34" t="s">
        <v>14</v>
      </c>
    </row>
    <row r="134" spans="1:30" ht="24" customHeight="1" x14ac:dyDescent="0.25">
      <c r="A134" s="207" t="s">
        <v>313</v>
      </c>
      <c r="B134" s="208"/>
      <c r="C134" s="55">
        <f>C135</f>
        <v>4470000</v>
      </c>
      <c r="D134" s="55">
        <f t="shared" ref="D134:K134" si="28">D135</f>
        <v>689527.49</v>
      </c>
      <c r="E134" s="55">
        <f t="shared" si="28"/>
        <v>0</v>
      </c>
      <c r="F134" s="55">
        <f t="shared" si="28"/>
        <v>689527.49</v>
      </c>
      <c r="G134" s="55"/>
      <c r="H134" s="55">
        <f t="shared" si="28"/>
        <v>689527.49</v>
      </c>
      <c r="I134" s="55">
        <f t="shared" si="28"/>
        <v>0</v>
      </c>
      <c r="J134" s="55">
        <f t="shared" si="28"/>
        <v>0</v>
      </c>
      <c r="K134" s="55">
        <f t="shared" si="28"/>
        <v>0</v>
      </c>
      <c r="L134" s="10"/>
    </row>
    <row r="135" spans="1:30" ht="51.75" customHeight="1" x14ac:dyDescent="0.25">
      <c r="A135" s="88" t="s">
        <v>140</v>
      </c>
      <c r="B135" s="31" t="s">
        <v>296</v>
      </c>
      <c r="C135" s="51">
        <v>4470000</v>
      </c>
      <c r="D135" s="58">
        <v>689527.49</v>
      </c>
      <c r="E135" s="12">
        <v>0</v>
      </c>
      <c r="F135" s="11">
        <v>689527.49</v>
      </c>
      <c r="G135" s="53" t="s">
        <v>297</v>
      </c>
      <c r="H135" s="11">
        <v>689527.49</v>
      </c>
      <c r="I135" s="50">
        <v>0</v>
      </c>
      <c r="J135" s="54">
        <v>0</v>
      </c>
      <c r="K135" s="49">
        <v>0</v>
      </c>
      <c r="L135" s="36" t="s">
        <v>14</v>
      </c>
    </row>
    <row r="136" spans="1:30" ht="24" customHeight="1" x14ac:dyDescent="0.25">
      <c r="A136" s="207" t="s">
        <v>252</v>
      </c>
      <c r="B136" s="208"/>
      <c r="C136" s="55">
        <f>C137</f>
        <v>50000</v>
      </c>
      <c r="D136" s="55">
        <f t="shared" ref="D136:K136" si="29">D137</f>
        <v>50000</v>
      </c>
      <c r="E136" s="55">
        <f t="shared" si="29"/>
        <v>0</v>
      </c>
      <c r="F136" s="55">
        <f t="shared" si="29"/>
        <v>50000</v>
      </c>
      <c r="G136" s="55"/>
      <c r="H136" s="55">
        <f t="shared" si="29"/>
        <v>50000</v>
      </c>
      <c r="I136" s="55">
        <f t="shared" si="29"/>
        <v>0</v>
      </c>
      <c r="J136" s="55">
        <f t="shared" si="29"/>
        <v>0</v>
      </c>
      <c r="K136" s="55">
        <f t="shared" si="29"/>
        <v>0</v>
      </c>
      <c r="L136" s="10"/>
    </row>
    <row r="137" spans="1:30" ht="53.25" customHeight="1" x14ac:dyDescent="0.25">
      <c r="A137" s="88" t="s">
        <v>141</v>
      </c>
      <c r="B137" s="31" t="s">
        <v>253</v>
      </c>
      <c r="C137" s="51">
        <v>50000</v>
      </c>
      <c r="D137" s="58">
        <v>50000</v>
      </c>
      <c r="E137" s="12">
        <v>0</v>
      </c>
      <c r="F137" s="11">
        <v>50000</v>
      </c>
      <c r="G137" s="53" t="s">
        <v>314</v>
      </c>
      <c r="H137" s="11">
        <v>50000</v>
      </c>
      <c r="I137" s="50">
        <v>0</v>
      </c>
      <c r="J137" s="54">
        <v>0</v>
      </c>
      <c r="K137" s="49">
        <v>0</v>
      </c>
      <c r="L137" s="36" t="s">
        <v>14</v>
      </c>
    </row>
    <row r="138" spans="1:30" ht="18" customHeight="1" x14ac:dyDescent="0.25">
      <c r="A138" s="209" t="s">
        <v>299</v>
      </c>
      <c r="B138" s="210"/>
      <c r="C138" s="105">
        <f>C139</f>
        <v>12874328</v>
      </c>
      <c r="D138" s="105">
        <f t="shared" ref="D138:L138" si="30">D139</f>
        <v>78597</v>
      </c>
      <c r="E138" s="105">
        <f t="shared" si="30"/>
        <v>0</v>
      </c>
      <c r="F138" s="105">
        <f t="shared" si="30"/>
        <v>78597</v>
      </c>
      <c r="G138" s="105"/>
      <c r="H138" s="105">
        <f t="shared" si="30"/>
        <v>78597</v>
      </c>
      <c r="I138" s="105">
        <f t="shared" si="30"/>
        <v>0</v>
      </c>
      <c r="J138" s="105">
        <f t="shared" si="30"/>
        <v>0</v>
      </c>
      <c r="K138" s="105">
        <f t="shared" si="30"/>
        <v>0</v>
      </c>
      <c r="L138" s="106" t="str">
        <f t="shared" si="30"/>
        <v>x</v>
      </c>
    </row>
    <row r="139" spans="1:30" ht="49.9" customHeight="1" x14ac:dyDescent="0.25">
      <c r="A139" s="88" t="s">
        <v>142</v>
      </c>
      <c r="B139" s="53" t="s">
        <v>298</v>
      </c>
      <c r="C139" s="38">
        <f>12864328+10000</f>
        <v>12874328</v>
      </c>
      <c r="D139" s="11">
        <v>78597</v>
      </c>
      <c r="E139" s="12">
        <v>0</v>
      </c>
      <c r="F139" s="11">
        <v>78597</v>
      </c>
      <c r="G139" s="13" t="s">
        <v>300</v>
      </c>
      <c r="H139" s="11">
        <v>78597</v>
      </c>
      <c r="I139" s="50">
        <v>0</v>
      </c>
      <c r="J139" s="54">
        <v>0</v>
      </c>
      <c r="K139" s="49">
        <v>0</v>
      </c>
      <c r="L139" s="36" t="s">
        <v>14</v>
      </c>
    </row>
    <row r="140" spans="1:30" ht="19.5" customHeight="1" x14ac:dyDescent="0.25">
      <c r="A140" s="209" t="s">
        <v>321</v>
      </c>
      <c r="B140" s="210"/>
      <c r="C140" s="105">
        <f>C141</f>
        <v>5110000</v>
      </c>
      <c r="D140" s="105">
        <f t="shared" ref="D140:K140" si="31">D141</f>
        <v>10000</v>
      </c>
      <c r="E140" s="105">
        <f t="shared" si="31"/>
        <v>0</v>
      </c>
      <c r="F140" s="105">
        <f t="shared" si="31"/>
        <v>10000</v>
      </c>
      <c r="G140" s="105"/>
      <c r="H140" s="105">
        <f t="shared" si="31"/>
        <v>10000</v>
      </c>
      <c r="I140" s="105">
        <f t="shared" si="31"/>
        <v>0</v>
      </c>
      <c r="J140" s="105">
        <f t="shared" si="31"/>
        <v>0</v>
      </c>
      <c r="K140" s="105">
        <f t="shared" si="31"/>
        <v>0</v>
      </c>
      <c r="L140" s="105"/>
    </row>
    <row r="141" spans="1:30" ht="36" customHeight="1" x14ac:dyDescent="0.25">
      <c r="A141" s="88" t="s">
        <v>143</v>
      </c>
      <c r="B141" s="53" t="s">
        <v>292</v>
      </c>
      <c r="C141" s="38">
        <v>5110000</v>
      </c>
      <c r="D141" s="58">
        <v>10000</v>
      </c>
      <c r="E141" s="12">
        <v>0</v>
      </c>
      <c r="F141" s="11">
        <v>10000</v>
      </c>
      <c r="G141" s="13" t="s">
        <v>310</v>
      </c>
      <c r="H141" s="11">
        <f>102000-92000</f>
        <v>10000</v>
      </c>
      <c r="I141" s="50">
        <v>0</v>
      </c>
      <c r="J141" s="54">
        <f>4998000-4998000</f>
        <v>0</v>
      </c>
      <c r="K141" s="49">
        <v>0</v>
      </c>
      <c r="L141" s="36" t="s">
        <v>28</v>
      </c>
    </row>
    <row r="142" spans="1:30" ht="21.75" customHeight="1" x14ac:dyDescent="0.25">
      <c r="A142" s="183" t="s">
        <v>255</v>
      </c>
      <c r="B142" s="189"/>
      <c r="C142" s="55">
        <f>C143</f>
        <v>14499</v>
      </c>
      <c r="D142" s="55">
        <f t="shared" ref="D142:K142" si="32">D143</f>
        <v>14499</v>
      </c>
      <c r="E142" s="55">
        <f t="shared" si="32"/>
        <v>0</v>
      </c>
      <c r="F142" s="55">
        <f t="shared" si="32"/>
        <v>14499</v>
      </c>
      <c r="G142" s="55"/>
      <c r="H142" s="55">
        <f t="shared" si="32"/>
        <v>14499</v>
      </c>
      <c r="I142" s="55">
        <f t="shared" si="32"/>
        <v>0</v>
      </c>
      <c r="J142" s="55">
        <f t="shared" si="32"/>
        <v>0</v>
      </c>
      <c r="K142" s="55">
        <f t="shared" si="32"/>
        <v>0</v>
      </c>
      <c r="L142" s="98"/>
    </row>
    <row r="143" spans="1:30" ht="36" customHeight="1" x14ac:dyDescent="0.25">
      <c r="A143" s="88" t="s">
        <v>144</v>
      </c>
      <c r="B143" s="44" t="s">
        <v>256</v>
      </c>
      <c r="C143" s="51">
        <v>14499</v>
      </c>
      <c r="D143" s="58">
        <f>15000-501</f>
        <v>14499</v>
      </c>
      <c r="E143" s="12">
        <v>0</v>
      </c>
      <c r="F143" s="11">
        <f>D143+E143</f>
        <v>14499</v>
      </c>
      <c r="G143" s="30" t="s">
        <v>257</v>
      </c>
      <c r="H143" s="11">
        <v>14499</v>
      </c>
      <c r="I143" s="50">
        <v>0</v>
      </c>
      <c r="J143" s="54">
        <v>0</v>
      </c>
      <c r="K143" s="49">
        <v>0</v>
      </c>
      <c r="L143" s="36" t="s">
        <v>28</v>
      </c>
    </row>
    <row r="144" spans="1:30" ht="17.45" customHeight="1" x14ac:dyDescent="0.25">
      <c r="A144" s="181" t="s">
        <v>56</v>
      </c>
      <c r="B144" s="182"/>
      <c r="C144" s="55">
        <f>SUM(C145:C145)</f>
        <v>2322451.65</v>
      </c>
      <c r="D144" s="55">
        <f t="shared" ref="D144:F144" si="33">SUM(D145:D145)</f>
        <v>850000</v>
      </c>
      <c r="E144" s="55">
        <f t="shared" si="33"/>
        <v>0</v>
      </c>
      <c r="F144" s="55">
        <f t="shared" si="33"/>
        <v>850000</v>
      </c>
      <c r="G144" s="55"/>
      <c r="H144" s="55">
        <f>SUM(H145:H145)</f>
        <v>850000</v>
      </c>
      <c r="I144" s="55">
        <f t="shared" ref="I144:K144" si="34">SUM(I145:I145)</f>
        <v>0</v>
      </c>
      <c r="J144" s="55">
        <f t="shared" si="34"/>
        <v>0</v>
      </c>
      <c r="K144" s="55">
        <f t="shared" si="34"/>
        <v>0</v>
      </c>
      <c r="L144" s="62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1:30" s="108" customFormat="1" ht="34.9" customHeight="1" x14ac:dyDescent="0.25">
      <c r="A145" s="63" t="s">
        <v>220</v>
      </c>
      <c r="B145" s="31" t="s">
        <v>159</v>
      </c>
      <c r="C145" s="38">
        <f>1672451.65+200000+150000+150000+150000</f>
        <v>2322451.65</v>
      </c>
      <c r="D145" s="11">
        <f>200000+200000+150000+150000+150000</f>
        <v>850000</v>
      </c>
      <c r="E145" s="12">
        <v>0</v>
      </c>
      <c r="F145" s="11">
        <f>SUM(D145:E145)</f>
        <v>850000</v>
      </c>
      <c r="G145" s="30" t="s">
        <v>146</v>
      </c>
      <c r="H145" s="38">
        <f>F145</f>
        <v>850000</v>
      </c>
      <c r="I145" s="38">
        <v>0</v>
      </c>
      <c r="J145" s="64">
        <v>0</v>
      </c>
      <c r="K145" s="38">
        <v>0</v>
      </c>
      <c r="L145" s="36" t="s">
        <v>28</v>
      </c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1:30" ht="18" customHeight="1" x14ac:dyDescent="0.25">
      <c r="A146" s="205" t="s">
        <v>58</v>
      </c>
      <c r="B146" s="206"/>
      <c r="C146" s="8">
        <f>SUM(C147:C181)</f>
        <v>2954629.75</v>
      </c>
      <c r="D146" s="8">
        <f>SUM(D147:D181)</f>
        <v>1124249.7399999998</v>
      </c>
      <c r="E146" s="8">
        <f>SUM(E147:E181)</f>
        <v>-4619.99</v>
      </c>
      <c r="F146" s="8">
        <f>SUM(F147:F181)</f>
        <v>1119629.7499999998</v>
      </c>
      <c r="G146" s="8"/>
      <c r="H146" s="8">
        <f>SUM(H147:H181)</f>
        <v>1119629.7499999998</v>
      </c>
      <c r="I146" s="8">
        <f>SUM(I147:I181)</f>
        <v>0</v>
      </c>
      <c r="J146" s="8">
        <f>SUM(J147:J181)</f>
        <v>0</v>
      </c>
      <c r="K146" s="8">
        <f>SUM(K147:K181)</f>
        <v>0</v>
      </c>
      <c r="L146" s="8"/>
    </row>
    <row r="147" spans="1:30" ht="22.9" customHeight="1" x14ac:dyDescent="0.25">
      <c r="A147" s="211" t="s">
        <v>259</v>
      </c>
      <c r="B147" s="215" t="s">
        <v>147</v>
      </c>
      <c r="C147" s="38">
        <f>35000-965.9</f>
        <v>34034.1</v>
      </c>
      <c r="D147" s="11">
        <f>35000-965.9</f>
        <v>34034.1</v>
      </c>
      <c r="E147" s="12">
        <v>0</v>
      </c>
      <c r="F147" s="11">
        <f>D147+E147</f>
        <v>34034.1</v>
      </c>
      <c r="G147" s="31" t="s">
        <v>160</v>
      </c>
      <c r="H147" s="38">
        <f t="shared" ref="H147:H157" si="35">F147</f>
        <v>34034.1</v>
      </c>
      <c r="I147" s="38">
        <v>0</v>
      </c>
      <c r="J147" s="64">
        <v>0</v>
      </c>
      <c r="K147" s="38">
        <v>0</v>
      </c>
      <c r="L147" s="36" t="s">
        <v>28</v>
      </c>
    </row>
    <row r="148" spans="1:30" ht="21.6" customHeight="1" x14ac:dyDescent="0.25">
      <c r="A148" s="212"/>
      <c r="B148" s="216"/>
      <c r="C148" s="38">
        <f>80000-917</f>
        <v>79083</v>
      </c>
      <c r="D148" s="11">
        <f>80000-917</f>
        <v>79083</v>
      </c>
      <c r="E148" s="12">
        <v>0</v>
      </c>
      <c r="F148" s="11">
        <f t="shared" ref="F148:F174" si="36">D148+E148</f>
        <v>79083</v>
      </c>
      <c r="G148" s="31" t="s">
        <v>161</v>
      </c>
      <c r="H148" s="38">
        <f t="shared" si="35"/>
        <v>79083</v>
      </c>
      <c r="I148" s="38">
        <v>0</v>
      </c>
      <c r="J148" s="64">
        <v>0</v>
      </c>
      <c r="K148" s="38">
        <v>0</v>
      </c>
      <c r="L148" s="36" t="s">
        <v>28</v>
      </c>
    </row>
    <row r="149" spans="1:30" ht="22.15" customHeight="1" x14ac:dyDescent="0.25">
      <c r="A149" s="212"/>
      <c r="B149" s="216"/>
      <c r="C149" s="38">
        <f>18000+300-797.1</f>
        <v>17502.900000000001</v>
      </c>
      <c r="D149" s="11">
        <f>18300-797.1</f>
        <v>17502.900000000001</v>
      </c>
      <c r="E149" s="12">
        <v>0</v>
      </c>
      <c r="F149" s="11">
        <f t="shared" si="36"/>
        <v>17502.900000000001</v>
      </c>
      <c r="G149" s="31" t="s">
        <v>59</v>
      </c>
      <c r="H149" s="38">
        <f t="shared" si="35"/>
        <v>17502.900000000001</v>
      </c>
      <c r="I149" s="38">
        <v>0</v>
      </c>
      <c r="J149" s="64">
        <v>0</v>
      </c>
      <c r="K149" s="38">
        <v>0</v>
      </c>
      <c r="L149" s="36" t="s">
        <v>28</v>
      </c>
    </row>
    <row r="150" spans="1:30" ht="26.45" customHeight="1" x14ac:dyDescent="0.25">
      <c r="A150" s="212"/>
      <c r="B150" s="216"/>
      <c r="C150" s="38">
        <f>53000-6500-1498.15</f>
        <v>45001.85</v>
      </c>
      <c r="D150" s="11">
        <f>46500-1498.15</f>
        <v>45001.85</v>
      </c>
      <c r="E150" s="12">
        <v>0</v>
      </c>
      <c r="F150" s="11">
        <f t="shared" si="36"/>
        <v>45001.85</v>
      </c>
      <c r="G150" s="31" t="s">
        <v>162</v>
      </c>
      <c r="H150" s="38">
        <f t="shared" si="35"/>
        <v>45001.85</v>
      </c>
      <c r="I150" s="38">
        <v>0</v>
      </c>
      <c r="J150" s="64">
        <v>0</v>
      </c>
      <c r="K150" s="38">
        <v>0</v>
      </c>
      <c r="L150" s="36" t="s">
        <v>28</v>
      </c>
    </row>
    <row r="151" spans="1:30" ht="29.45" customHeight="1" x14ac:dyDescent="0.25">
      <c r="A151" s="213"/>
      <c r="B151" s="217"/>
      <c r="C151" s="38">
        <f>68000+5700-1110.6</f>
        <v>72589.399999999994</v>
      </c>
      <c r="D151" s="11">
        <f>73700-1110.6</f>
        <v>72589.399999999994</v>
      </c>
      <c r="E151" s="12">
        <v>0</v>
      </c>
      <c r="F151" s="11">
        <f t="shared" si="36"/>
        <v>72589.399999999994</v>
      </c>
      <c r="G151" s="31" t="s">
        <v>60</v>
      </c>
      <c r="H151" s="38">
        <f t="shared" si="35"/>
        <v>72589.399999999994</v>
      </c>
      <c r="I151" s="38">
        <v>0</v>
      </c>
      <c r="J151" s="64">
        <v>0</v>
      </c>
      <c r="K151" s="38">
        <v>0</v>
      </c>
      <c r="L151" s="36" t="s">
        <v>28</v>
      </c>
    </row>
    <row r="152" spans="1:30" ht="22.9" customHeight="1" x14ac:dyDescent="0.25">
      <c r="A152" s="213"/>
      <c r="B152" s="217"/>
      <c r="C152" s="38">
        <f>6000-2310</f>
        <v>3690</v>
      </c>
      <c r="D152" s="11">
        <v>3690</v>
      </c>
      <c r="E152" s="12">
        <v>0</v>
      </c>
      <c r="F152" s="11">
        <f t="shared" si="36"/>
        <v>3690</v>
      </c>
      <c r="G152" s="65" t="s">
        <v>61</v>
      </c>
      <c r="H152" s="38">
        <f t="shared" si="35"/>
        <v>3690</v>
      </c>
      <c r="I152" s="38">
        <v>0</v>
      </c>
      <c r="J152" s="64">
        <v>0</v>
      </c>
      <c r="K152" s="38">
        <v>0</v>
      </c>
      <c r="L152" s="36" t="s">
        <v>28</v>
      </c>
    </row>
    <row r="153" spans="1:30" ht="25.15" customHeight="1" x14ac:dyDescent="0.25">
      <c r="A153" s="213"/>
      <c r="B153" s="217"/>
      <c r="C153" s="38">
        <f>6000-2187</f>
        <v>3813</v>
      </c>
      <c r="D153" s="11">
        <v>3813</v>
      </c>
      <c r="E153" s="12">
        <v>0</v>
      </c>
      <c r="F153" s="11">
        <f t="shared" si="36"/>
        <v>3813</v>
      </c>
      <c r="G153" s="65" t="s">
        <v>62</v>
      </c>
      <c r="H153" s="38">
        <f t="shared" si="35"/>
        <v>3813</v>
      </c>
      <c r="I153" s="38">
        <v>0</v>
      </c>
      <c r="J153" s="64">
        <v>0</v>
      </c>
      <c r="K153" s="38">
        <v>0</v>
      </c>
      <c r="L153" s="36" t="s">
        <v>28</v>
      </c>
    </row>
    <row r="154" spans="1:30" ht="23.45" customHeight="1" x14ac:dyDescent="0.25">
      <c r="A154" s="213"/>
      <c r="B154" s="217"/>
      <c r="C154" s="38">
        <f>6000-1080</f>
        <v>4920</v>
      </c>
      <c r="D154" s="11">
        <v>4920</v>
      </c>
      <c r="E154" s="12">
        <v>0</v>
      </c>
      <c r="F154" s="11">
        <f t="shared" si="36"/>
        <v>4920</v>
      </c>
      <c r="G154" s="65" t="s">
        <v>163</v>
      </c>
      <c r="H154" s="38">
        <f t="shared" si="35"/>
        <v>4920</v>
      </c>
      <c r="I154" s="41">
        <v>0</v>
      </c>
      <c r="J154" s="61">
        <v>0</v>
      </c>
      <c r="K154" s="41">
        <v>0</v>
      </c>
      <c r="L154" s="34" t="s">
        <v>28</v>
      </c>
    </row>
    <row r="155" spans="1:30" ht="24" customHeight="1" x14ac:dyDescent="0.25">
      <c r="A155" s="213"/>
      <c r="B155" s="217"/>
      <c r="C155" s="38">
        <f>6000-2310</f>
        <v>3690</v>
      </c>
      <c r="D155" s="11">
        <v>3690</v>
      </c>
      <c r="E155" s="12">
        <v>0</v>
      </c>
      <c r="F155" s="11">
        <f t="shared" si="36"/>
        <v>3690</v>
      </c>
      <c r="G155" s="65" t="s">
        <v>63</v>
      </c>
      <c r="H155" s="38">
        <f t="shared" si="35"/>
        <v>3690</v>
      </c>
      <c r="I155" s="41">
        <v>0</v>
      </c>
      <c r="J155" s="61">
        <v>0</v>
      </c>
      <c r="K155" s="41">
        <v>0</v>
      </c>
      <c r="L155" s="34" t="s">
        <v>28</v>
      </c>
    </row>
    <row r="156" spans="1:30" ht="21.6" customHeight="1" x14ac:dyDescent="0.25">
      <c r="A156" s="213"/>
      <c r="B156" s="217"/>
      <c r="C156" s="38">
        <f>6000-219</f>
        <v>5781</v>
      </c>
      <c r="D156" s="11">
        <v>5781</v>
      </c>
      <c r="E156" s="12">
        <v>0</v>
      </c>
      <c r="F156" s="11">
        <f t="shared" si="36"/>
        <v>5781</v>
      </c>
      <c r="G156" s="65" t="s">
        <v>164</v>
      </c>
      <c r="H156" s="38">
        <f t="shared" si="35"/>
        <v>5781</v>
      </c>
      <c r="I156" s="41">
        <v>0</v>
      </c>
      <c r="J156" s="61">
        <v>0</v>
      </c>
      <c r="K156" s="41">
        <v>0</v>
      </c>
      <c r="L156" s="34" t="s">
        <v>28</v>
      </c>
    </row>
    <row r="157" spans="1:30" ht="23.45" customHeight="1" x14ac:dyDescent="0.25">
      <c r="A157" s="213"/>
      <c r="B157" s="217"/>
      <c r="C157" s="38">
        <f>6000-219</f>
        <v>5781</v>
      </c>
      <c r="D157" s="11">
        <v>5781</v>
      </c>
      <c r="E157" s="12">
        <v>0</v>
      </c>
      <c r="F157" s="11">
        <f t="shared" si="36"/>
        <v>5781</v>
      </c>
      <c r="G157" s="65" t="s">
        <v>239</v>
      </c>
      <c r="H157" s="38">
        <f t="shared" si="35"/>
        <v>5781</v>
      </c>
      <c r="I157" s="41">
        <v>0</v>
      </c>
      <c r="J157" s="61">
        <v>0</v>
      </c>
      <c r="K157" s="41">
        <v>0</v>
      </c>
      <c r="L157" s="34" t="s">
        <v>28</v>
      </c>
    </row>
    <row r="158" spans="1:30" ht="24.6" customHeight="1" x14ac:dyDescent="0.25">
      <c r="A158" s="213"/>
      <c r="B158" s="217"/>
      <c r="C158" s="38">
        <f>6000-342</f>
        <v>5658</v>
      </c>
      <c r="D158" s="11">
        <v>5658</v>
      </c>
      <c r="E158" s="12">
        <v>0</v>
      </c>
      <c r="F158" s="11">
        <f t="shared" si="36"/>
        <v>5658</v>
      </c>
      <c r="G158" s="65" t="s">
        <v>165</v>
      </c>
      <c r="H158" s="38">
        <f>6000-342</f>
        <v>5658</v>
      </c>
      <c r="I158" s="38">
        <v>0</v>
      </c>
      <c r="J158" s="64">
        <v>0</v>
      </c>
      <c r="K158" s="38">
        <v>0</v>
      </c>
      <c r="L158" s="34" t="s">
        <v>28</v>
      </c>
    </row>
    <row r="159" spans="1:30" ht="24.6" customHeight="1" x14ac:dyDescent="0.25">
      <c r="A159" s="213"/>
      <c r="B159" s="217"/>
      <c r="C159" s="38">
        <f>20000+41000</f>
        <v>61000</v>
      </c>
      <c r="D159" s="11">
        <f>20000+41000</f>
        <v>61000</v>
      </c>
      <c r="E159" s="12">
        <v>0</v>
      </c>
      <c r="F159" s="11">
        <f t="shared" si="36"/>
        <v>61000</v>
      </c>
      <c r="G159" s="65" t="s">
        <v>187</v>
      </c>
      <c r="H159" s="38">
        <f>F159</f>
        <v>61000</v>
      </c>
      <c r="I159" s="38">
        <v>0</v>
      </c>
      <c r="J159" s="64">
        <v>0</v>
      </c>
      <c r="K159" s="38">
        <v>0</v>
      </c>
      <c r="L159" s="36" t="s">
        <v>14</v>
      </c>
    </row>
    <row r="160" spans="1:30" ht="24.6" customHeight="1" x14ac:dyDescent="0.25">
      <c r="A160" s="213"/>
      <c r="B160" s="217"/>
      <c r="C160" s="38">
        <f>6000-342</f>
        <v>5658</v>
      </c>
      <c r="D160" s="11">
        <v>5658</v>
      </c>
      <c r="E160" s="12">
        <v>0</v>
      </c>
      <c r="F160" s="11">
        <f t="shared" si="36"/>
        <v>5658</v>
      </c>
      <c r="G160" s="65" t="s">
        <v>99</v>
      </c>
      <c r="H160" s="38">
        <f>6000-342</f>
        <v>5658</v>
      </c>
      <c r="I160" s="38">
        <v>0</v>
      </c>
      <c r="J160" s="64">
        <v>0</v>
      </c>
      <c r="K160" s="38">
        <v>0</v>
      </c>
      <c r="L160" s="36" t="s">
        <v>14</v>
      </c>
    </row>
    <row r="161" spans="1:13" ht="24.6" customHeight="1" x14ac:dyDescent="0.25">
      <c r="A161" s="213"/>
      <c r="B161" s="217"/>
      <c r="C161" s="38">
        <f>6000+24000</f>
        <v>30000</v>
      </c>
      <c r="D161" s="38">
        <f>6000+24000</f>
        <v>30000</v>
      </c>
      <c r="E161" s="12">
        <v>0</v>
      </c>
      <c r="F161" s="11">
        <f t="shared" si="36"/>
        <v>30000</v>
      </c>
      <c r="G161" s="31" t="s">
        <v>100</v>
      </c>
      <c r="H161" s="38">
        <f>6000+24000</f>
        <v>30000</v>
      </c>
      <c r="I161" s="38">
        <v>0</v>
      </c>
      <c r="J161" s="64">
        <v>0</v>
      </c>
      <c r="K161" s="38">
        <v>0</v>
      </c>
      <c r="L161" s="36" t="s">
        <v>14</v>
      </c>
    </row>
    <row r="162" spans="1:13" ht="24.6" customHeight="1" x14ac:dyDescent="0.25">
      <c r="A162" s="213"/>
      <c r="B162" s="217"/>
      <c r="C162" s="38">
        <f>12000+9000</f>
        <v>21000</v>
      </c>
      <c r="D162" s="11">
        <f>12000+9000</f>
        <v>21000</v>
      </c>
      <c r="E162" s="12">
        <v>0</v>
      </c>
      <c r="F162" s="11">
        <f t="shared" si="36"/>
        <v>21000</v>
      </c>
      <c r="G162" s="65" t="s">
        <v>188</v>
      </c>
      <c r="H162" s="38">
        <f>F162</f>
        <v>21000</v>
      </c>
      <c r="I162" s="38">
        <v>0</v>
      </c>
      <c r="J162" s="64">
        <v>0</v>
      </c>
      <c r="K162" s="38">
        <v>0</v>
      </c>
      <c r="L162" s="36" t="s">
        <v>14</v>
      </c>
    </row>
    <row r="163" spans="1:13" ht="24.6" customHeight="1" x14ac:dyDescent="0.25">
      <c r="A163" s="213"/>
      <c r="B163" s="217"/>
      <c r="C163" s="38">
        <f>40000+25500</f>
        <v>65500</v>
      </c>
      <c r="D163" s="11">
        <f>40000+25500</f>
        <v>65500</v>
      </c>
      <c r="E163" s="12">
        <v>0</v>
      </c>
      <c r="F163" s="11">
        <f t="shared" si="36"/>
        <v>65500</v>
      </c>
      <c r="G163" s="65" t="s">
        <v>166</v>
      </c>
      <c r="H163" s="38">
        <f t="shared" ref="H163:H174" si="37">F163</f>
        <v>65500</v>
      </c>
      <c r="I163" s="38">
        <v>0</v>
      </c>
      <c r="J163" s="64">
        <v>0</v>
      </c>
      <c r="K163" s="38">
        <v>0</v>
      </c>
      <c r="L163" s="36" t="s">
        <v>14</v>
      </c>
    </row>
    <row r="164" spans="1:13" ht="24.6" customHeight="1" x14ac:dyDescent="0.25">
      <c r="A164" s="213"/>
      <c r="B164" s="217"/>
      <c r="C164" s="38">
        <f>60000+39000</f>
        <v>99000</v>
      </c>
      <c r="D164" s="11">
        <f>60000+39000</f>
        <v>99000</v>
      </c>
      <c r="E164" s="12">
        <v>0</v>
      </c>
      <c r="F164" s="11">
        <f t="shared" si="36"/>
        <v>99000</v>
      </c>
      <c r="G164" s="65" t="s">
        <v>167</v>
      </c>
      <c r="H164" s="38">
        <f t="shared" si="37"/>
        <v>99000</v>
      </c>
      <c r="I164" s="38">
        <v>0</v>
      </c>
      <c r="J164" s="64">
        <v>0</v>
      </c>
      <c r="K164" s="38">
        <v>0</v>
      </c>
      <c r="L164" s="36" t="s">
        <v>14</v>
      </c>
    </row>
    <row r="165" spans="1:13" ht="24.6" customHeight="1" x14ac:dyDescent="0.25">
      <c r="A165" s="213"/>
      <c r="B165" s="217"/>
      <c r="C165" s="38">
        <f>70000+32500</f>
        <v>102500</v>
      </c>
      <c r="D165" s="11">
        <f>70000+32500</f>
        <v>102500</v>
      </c>
      <c r="E165" s="12">
        <v>0</v>
      </c>
      <c r="F165" s="11">
        <f t="shared" si="36"/>
        <v>102500</v>
      </c>
      <c r="G165" s="65" t="s">
        <v>101</v>
      </c>
      <c r="H165" s="38">
        <f t="shared" si="37"/>
        <v>102500</v>
      </c>
      <c r="I165" s="38">
        <v>0</v>
      </c>
      <c r="J165" s="64">
        <v>0</v>
      </c>
      <c r="K165" s="38">
        <v>0</v>
      </c>
      <c r="L165" s="36" t="s">
        <v>14</v>
      </c>
    </row>
    <row r="166" spans="1:13" ht="24.6" customHeight="1" x14ac:dyDescent="0.25">
      <c r="A166" s="213"/>
      <c r="B166" s="217"/>
      <c r="C166" s="38">
        <f>107800-1355.8</f>
        <v>106444.2</v>
      </c>
      <c r="D166" s="11">
        <f>107800-1355.8</f>
        <v>106444.2</v>
      </c>
      <c r="E166" s="12">
        <v>0</v>
      </c>
      <c r="F166" s="11">
        <f t="shared" si="36"/>
        <v>106444.2</v>
      </c>
      <c r="G166" s="65" t="s">
        <v>168</v>
      </c>
      <c r="H166" s="38">
        <f t="shared" si="37"/>
        <v>106444.2</v>
      </c>
      <c r="I166" s="38">
        <v>0</v>
      </c>
      <c r="J166" s="64">
        <v>0</v>
      </c>
      <c r="K166" s="38">
        <v>0</v>
      </c>
      <c r="L166" s="36" t="s">
        <v>14</v>
      </c>
      <c r="M166" s="103"/>
    </row>
    <row r="167" spans="1:13" ht="24.6" customHeight="1" x14ac:dyDescent="0.25">
      <c r="A167" s="213"/>
      <c r="B167" s="217"/>
      <c r="C167" s="38">
        <f>70000+26000</f>
        <v>96000</v>
      </c>
      <c r="D167" s="11">
        <f>70000+26000</f>
        <v>96000</v>
      </c>
      <c r="E167" s="12">
        <v>0</v>
      </c>
      <c r="F167" s="11">
        <f t="shared" si="36"/>
        <v>96000</v>
      </c>
      <c r="G167" s="65" t="s">
        <v>102</v>
      </c>
      <c r="H167" s="38">
        <f t="shared" si="37"/>
        <v>96000</v>
      </c>
      <c r="I167" s="38">
        <v>0</v>
      </c>
      <c r="J167" s="64">
        <v>0</v>
      </c>
      <c r="K167" s="38">
        <v>0</v>
      </c>
      <c r="L167" s="36" t="s">
        <v>14</v>
      </c>
    </row>
    <row r="168" spans="1:13" ht="24.6" customHeight="1" x14ac:dyDescent="0.25">
      <c r="A168" s="213"/>
      <c r="B168" s="217"/>
      <c r="C168" s="38">
        <f>10000-775</f>
        <v>9225</v>
      </c>
      <c r="D168" s="11">
        <v>9225</v>
      </c>
      <c r="E168" s="12">
        <v>0</v>
      </c>
      <c r="F168" s="11">
        <f t="shared" si="36"/>
        <v>9225</v>
      </c>
      <c r="G168" s="65" t="s">
        <v>221</v>
      </c>
      <c r="H168" s="38">
        <f t="shared" si="37"/>
        <v>9225</v>
      </c>
      <c r="I168" s="38">
        <v>0</v>
      </c>
      <c r="J168" s="64">
        <v>0</v>
      </c>
      <c r="K168" s="38">
        <v>0</v>
      </c>
      <c r="L168" s="36" t="s">
        <v>14</v>
      </c>
    </row>
    <row r="169" spans="1:13" ht="27.6" customHeight="1" x14ac:dyDescent="0.25">
      <c r="A169" s="213"/>
      <c r="B169" s="217"/>
      <c r="C169" s="38">
        <f>6000+2000</f>
        <v>8000</v>
      </c>
      <c r="D169" s="11">
        <v>8000</v>
      </c>
      <c r="E169" s="12">
        <v>0</v>
      </c>
      <c r="F169" s="11">
        <f t="shared" si="36"/>
        <v>8000</v>
      </c>
      <c r="G169" s="65" t="s">
        <v>241</v>
      </c>
      <c r="H169" s="38">
        <f t="shared" si="37"/>
        <v>8000</v>
      </c>
      <c r="I169" s="38">
        <v>0</v>
      </c>
      <c r="J169" s="64">
        <v>0</v>
      </c>
      <c r="K169" s="38">
        <v>0</v>
      </c>
      <c r="L169" s="36" t="s">
        <v>14</v>
      </c>
    </row>
    <row r="170" spans="1:13" ht="22.15" customHeight="1" x14ac:dyDescent="0.25">
      <c r="A170" s="213"/>
      <c r="B170" s="217"/>
      <c r="C170" s="38">
        <f>8500-2965</f>
        <v>5535</v>
      </c>
      <c r="D170" s="11">
        <v>5535</v>
      </c>
      <c r="E170" s="12">
        <v>0</v>
      </c>
      <c r="F170" s="11">
        <f t="shared" si="36"/>
        <v>5535</v>
      </c>
      <c r="G170" s="65" t="s">
        <v>213</v>
      </c>
      <c r="H170" s="38">
        <f t="shared" si="37"/>
        <v>5535</v>
      </c>
      <c r="I170" s="38">
        <v>0</v>
      </c>
      <c r="J170" s="64">
        <v>0</v>
      </c>
      <c r="K170" s="38">
        <v>0</v>
      </c>
      <c r="L170" s="36" t="s">
        <v>14</v>
      </c>
    </row>
    <row r="171" spans="1:13" ht="22.9" customHeight="1" x14ac:dyDescent="0.25">
      <c r="A171" s="213"/>
      <c r="B171" s="217"/>
      <c r="C171" s="38">
        <v>40000</v>
      </c>
      <c r="D171" s="11">
        <f>40000-35000</f>
        <v>5000</v>
      </c>
      <c r="E171" s="12">
        <v>0</v>
      </c>
      <c r="F171" s="11">
        <f t="shared" si="36"/>
        <v>5000</v>
      </c>
      <c r="G171" s="65" t="s">
        <v>316</v>
      </c>
      <c r="H171" s="38">
        <f t="shared" si="37"/>
        <v>5000</v>
      </c>
      <c r="I171" s="38">
        <v>0</v>
      </c>
      <c r="J171" s="64">
        <v>0</v>
      </c>
      <c r="K171" s="38">
        <v>0</v>
      </c>
      <c r="L171" s="36" t="s">
        <v>28</v>
      </c>
    </row>
    <row r="172" spans="1:13" ht="23.45" customHeight="1" x14ac:dyDescent="0.25">
      <c r="A172" s="213"/>
      <c r="B172" s="217"/>
      <c r="C172" s="38">
        <f>44449+9000</f>
        <v>53449</v>
      </c>
      <c r="D172" s="11">
        <f>44449+9000</f>
        <v>53449</v>
      </c>
      <c r="E172" s="12">
        <v>0</v>
      </c>
      <c r="F172" s="11">
        <f t="shared" si="36"/>
        <v>53449</v>
      </c>
      <c r="G172" s="65" t="s">
        <v>287</v>
      </c>
      <c r="H172" s="38">
        <f t="shared" si="37"/>
        <v>53449</v>
      </c>
      <c r="I172" s="38">
        <v>0</v>
      </c>
      <c r="J172" s="64">
        <v>0</v>
      </c>
      <c r="K172" s="38">
        <v>0</v>
      </c>
      <c r="L172" s="36" t="s">
        <v>14</v>
      </c>
    </row>
    <row r="173" spans="1:13" ht="31.15" customHeight="1" x14ac:dyDescent="0.25">
      <c r="A173" s="214"/>
      <c r="B173" s="218"/>
      <c r="C173" s="38">
        <v>5000</v>
      </c>
      <c r="D173" s="11">
        <v>5000</v>
      </c>
      <c r="E173" s="12">
        <v>0</v>
      </c>
      <c r="F173" s="11">
        <f t="shared" si="36"/>
        <v>5000</v>
      </c>
      <c r="G173" s="65" t="s">
        <v>64</v>
      </c>
      <c r="H173" s="38">
        <f t="shared" si="37"/>
        <v>5000</v>
      </c>
      <c r="I173" s="38">
        <v>0</v>
      </c>
      <c r="J173" s="64">
        <v>0</v>
      </c>
      <c r="K173" s="38">
        <v>0</v>
      </c>
      <c r="L173" s="36" t="s">
        <v>28</v>
      </c>
    </row>
    <row r="174" spans="1:13" ht="31.15" customHeight="1" x14ac:dyDescent="0.25">
      <c r="A174" s="125" t="s">
        <v>260</v>
      </c>
      <c r="B174" s="126" t="s">
        <v>323</v>
      </c>
      <c r="C174" s="38">
        <v>1900000</v>
      </c>
      <c r="D174" s="11">
        <v>100000</v>
      </c>
      <c r="E174" s="12">
        <v>0</v>
      </c>
      <c r="F174" s="11">
        <f t="shared" si="36"/>
        <v>100000</v>
      </c>
      <c r="G174" s="44" t="s">
        <v>329</v>
      </c>
      <c r="H174" s="38">
        <f t="shared" si="37"/>
        <v>100000</v>
      </c>
      <c r="I174" s="38">
        <v>0</v>
      </c>
      <c r="J174" s="64">
        <v>0</v>
      </c>
      <c r="K174" s="38">
        <v>0</v>
      </c>
      <c r="L174" s="36" t="s">
        <v>28</v>
      </c>
    </row>
    <row r="175" spans="1:13" ht="13.9" customHeight="1" x14ac:dyDescent="0.25">
      <c r="A175" s="219" t="s">
        <v>261</v>
      </c>
      <c r="B175" s="222" t="s">
        <v>197</v>
      </c>
      <c r="C175" s="191" t="s">
        <v>86</v>
      </c>
      <c r="D175" s="192"/>
      <c r="E175" s="192"/>
      <c r="F175" s="192"/>
      <c r="G175" s="192"/>
      <c r="H175" s="192"/>
      <c r="I175" s="192"/>
      <c r="J175" s="192"/>
      <c r="K175" s="192"/>
      <c r="L175" s="193"/>
    </row>
    <row r="176" spans="1:13" ht="37.9" customHeight="1" x14ac:dyDescent="0.25">
      <c r="A176" s="220"/>
      <c r="B176" s="223"/>
      <c r="C176" s="38">
        <f>12000-3537.6</f>
        <v>8462.4</v>
      </c>
      <c r="D176" s="38">
        <f>12000-3537.6</f>
        <v>8462.4</v>
      </c>
      <c r="E176" s="12">
        <v>0</v>
      </c>
      <c r="F176" s="11">
        <f>D176+E176</f>
        <v>8462.4</v>
      </c>
      <c r="G176" s="72" t="s">
        <v>240</v>
      </c>
      <c r="H176" s="38">
        <f>12000-3537.6</f>
        <v>8462.4</v>
      </c>
      <c r="I176" s="38">
        <v>0</v>
      </c>
      <c r="J176" s="64">
        <v>0</v>
      </c>
      <c r="K176" s="38">
        <v>0</v>
      </c>
      <c r="L176" s="36" t="s">
        <v>14</v>
      </c>
    </row>
    <row r="177" spans="1:20" ht="34.9" customHeight="1" x14ac:dyDescent="0.25">
      <c r="A177" s="220"/>
      <c r="B177" s="223"/>
      <c r="C177" s="38">
        <f>9000-1251</f>
        <v>7749</v>
      </c>
      <c r="D177" s="38">
        <f>9000-1251</f>
        <v>7749</v>
      </c>
      <c r="E177" s="12">
        <v>0</v>
      </c>
      <c r="F177" s="11">
        <f>D177+E177</f>
        <v>7749</v>
      </c>
      <c r="G177" s="72" t="s">
        <v>223</v>
      </c>
      <c r="H177" s="38">
        <f>9000-1251</f>
        <v>7749</v>
      </c>
      <c r="I177" s="38">
        <v>0</v>
      </c>
      <c r="J177" s="64">
        <v>0</v>
      </c>
      <c r="K177" s="38">
        <v>0</v>
      </c>
      <c r="L177" s="36" t="s">
        <v>14</v>
      </c>
    </row>
    <row r="178" spans="1:20" ht="39.6" customHeight="1" x14ac:dyDescent="0.25">
      <c r="A178" s="220"/>
      <c r="B178" s="223"/>
      <c r="C178" s="38">
        <v>22581.5</v>
      </c>
      <c r="D178" s="11">
        <v>22581.5</v>
      </c>
      <c r="E178" s="12">
        <v>0</v>
      </c>
      <c r="F178" s="11">
        <f>D178+E178</f>
        <v>22581.5</v>
      </c>
      <c r="G178" s="65" t="s">
        <v>179</v>
      </c>
      <c r="H178" s="38">
        <v>22581.5</v>
      </c>
      <c r="I178" s="38">
        <v>0</v>
      </c>
      <c r="J178" s="64">
        <v>0</v>
      </c>
      <c r="K178" s="38">
        <v>0</v>
      </c>
      <c r="L178" s="36" t="s">
        <v>14</v>
      </c>
    </row>
    <row r="179" spans="1:20" ht="18.600000000000001" customHeight="1" x14ac:dyDescent="0.25">
      <c r="A179" s="220"/>
      <c r="B179" s="223"/>
      <c r="C179" s="191" t="s">
        <v>89</v>
      </c>
      <c r="D179" s="192"/>
      <c r="E179" s="192"/>
      <c r="F179" s="192"/>
      <c r="G179" s="192"/>
      <c r="H179" s="192"/>
      <c r="I179" s="192"/>
      <c r="J179" s="192"/>
      <c r="K179" s="192"/>
      <c r="L179" s="193"/>
    </row>
    <row r="180" spans="1:20" ht="35.450000000000003" customHeight="1" x14ac:dyDescent="0.25">
      <c r="A180" s="220"/>
      <c r="B180" s="223"/>
      <c r="C180" s="38">
        <v>11290.75</v>
      </c>
      <c r="D180" s="38">
        <v>11290.75</v>
      </c>
      <c r="E180" s="12">
        <v>0</v>
      </c>
      <c r="F180" s="11">
        <f>D180+E180</f>
        <v>11290.75</v>
      </c>
      <c r="G180" s="72" t="s">
        <v>180</v>
      </c>
      <c r="H180" s="38">
        <v>11290.75</v>
      </c>
      <c r="I180" s="38">
        <v>0</v>
      </c>
      <c r="J180" s="64">
        <v>0</v>
      </c>
      <c r="K180" s="38">
        <v>0</v>
      </c>
      <c r="L180" s="36" t="s">
        <v>28</v>
      </c>
    </row>
    <row r="181" spans="1:20" ht="34.15" customHeight="1" x14ac:dyDescent="0.25">
      <c r="A181" s="221"/>
      <c r="B181" s="224"/>
      <c r="C181" s="134">
        <f>19310.64-4619.99</f>
        <v>14690.65</v>
      </c>
      <c r="D181" s="134">
        <v>19310.64</v>
      </c>
      <c r="E181" s="130">
        <v>-4619.99</v>
      </c>
      <c r="F181" s="129">
        <f>SUM(D181:E181)</f>
        <v>14690.65</v>
      </c>
      <c r="G181" s="156" t="s">
        <v>338</v>
      </c>
      <c r="H181" s="134">
        <f>19310.64-4619.99</f>
        <v>14690.65</v>
      </c>
      <c r="I181" s="134">
        <v>0</v>
      </c>
      <c r="J181" s="157">
        <v>0</v>
      </c>
      <c r="K181" s="134">
        <v>0</v>
      </c>
      <c r="L181" s="132" t="s">
        <v>28</v>
      </c>
    </row>
    <row r="182" spans="1:20" ht="14.45" customHeight="1" x14ac:dyDescent="0.25">
      <c r="A182" s="183" t="s">
        <v>66</v>
      </c>
      <c r="B182" s="184"/>
      <c r="C182" s="8">
        <f>SUM(C183:C187)</f>
        <v>1202105.8500000001</v>
      </c>
      <c r="D182" s="8">
        <f>SUM(D183:D187)</f>
        <v>1102105.8500000001</v>
      </c>
      <c r="E182" s="8">
        <f>SUM(E183:E187)</f>
        <v>0</v>
      </c>
      <c r="F182" s="8">
        <f>SUM(F183:F187)</f>
        <v>1102105.8500000001</v>
      </c>
      <c r="G182" s="8"/>
      <c r="H182" s="8">
        <f>SUM(H183:H187)</f>
        <v>1102105.8500000001</v>
      </c>
      <c r="I182" s="8">
        <f>SUM(I183:I187)</f>
        <v>0</v>
      </c>
      <c r="J182" s="8">
        <f>SUM(J183:J187)</f>
        <v>0</v>
      </c>
      <c r="K182" s="8">
        <f>SUM(K183:K187)</f>
        <v>0</v>
      </c>
      <c r="L182" s="96"/>
    </row>
    <row r="183" spans="1:20" ht="23.45" customHeight="1" x14ac:dyDescent="0.25">
      <c r="A183" s="63" t="s">
        <v>262</v>
      </c>
      <c r="B183" s="31" t="s">
        <v>67</v>
      </c>
      <c r="C183" s="12">
        <f>150000+1000000</f>
        <v>1150000</v>
      </c>
      <c r="D183" s="11">
        <f>50000+1000000</f>
        <v>1050000</v>
      </c>
      <c r="E183" s="12">
        <v>0</v>
      </c>
      <c r="F183" s="11">
        <f>D183+E183</f>
        <v>1050000</v>
      </c>
      <c r="G183" s="30" t="s">
        <v>68</v>
      </c>
      <c r="H183" s="38">
        <f>F183</f>
        <v>1050000</v>
      </c>
      <c r="I183" s="38">
        <v>0</v>
      </c>
      <c r="J183" s="64">
        <v>0</v>
      </c>
      <c r="K183" s="38">
        <v>0</v>
      </c>
      <c r="L183" s="36" t="s">
        <v>28</v>
      </c>
    </row>
    <row r="184" spans="1:20" ht="19.899999999999999" customHeight="1" x14ac:dyDescent="0.25">
      <c r="A184" s="219" t="s">
        <v>263</v>
      </c>
      <c r="B184" s="222" t="s">
        <v>198</v>
      </c>
      <c r="C184" s="194" t="s">
        <v>134</v>
      </c>
      <c r="D184" s="195"/>
      <c r="E184" s="195"/>
      <c r="F184" s="195"/>
      <c r="G184" s="195"/>
      <c r="H184" s="195"/>
      <c r="I184" s="195"/>
      <c r="J184" s="195"/>
      <c r="K184" s="195"/>
      <c r="L184" s="196"/>
    </row>
    <row r="185" spans="1:20" ht="54" customHeight="1" x14ac:dyDescent="0.25">
      <c r="A185" s="220"/>
      <c r="B185" s="223"/>
      <c r="C185" s="73">
        <f>25372.47-6922.47</f>
        <v>18450</v>
      </c>
      <c r="D185" s="73">
        <v>18450</v>
      </c>
      <c r="E185" s="12">
        <v>0</v>
      </c>
      <c r="F185" s="11">
        <f>D185+E185</f>
        <v>18450</v>
      </c>
      <c r="G185" s="30" t="s">
        <v>181</v>
      </c>
      <c r="H185" s="38">
        <f>25372.47-6922.47</f>
        <v>18450</v>
      </c>
      <c r="I185" s="38">
        <v>0</v>
      </c>
      <c r="J185" s="64">
        <v>0</v>
      </c>
      <c r="K185" s="38">
        <v>0</v>
      </c>
      <c r="L185" s="36" t="s">
        <v>28</v>
      </c>
    </row>
    <row r="186" spans="1:20" ht="46.9" customHeight="1" x14ac:dyDescent="0.25">
      <c r="A186" s="220"/>
      <c r="B186" s="223"/>
      <c r="C186" s="73">
        <v>10104</v>
      </c>
      <c r="D186" s="38">
        <f>30000-19000-896</f>
        <v>10104</v>
      </c>
      <c r="E186" s="12">
        <v>0</v>
      </c>
      <c r="F186" s="11">
        <f t="shared" ref="F186:F187" si="38">D186+E186</f>
        <v>10104</v>
      </c>
      <c r="G186" s="30" t="s">
        <v>169</v>
      </c>
      <c r="H186" s="38">
        <v>10104</v>
      </c>
      <c r="I186" s="38">
        <v>0</v>
      </c>
      <c r="J186" s="64">
        <v>0</v>
      </c>
      <c r="K186" s="38">
        <v>0</v>
      </c>
      <c r="L186" s="36" t="s">
        <v>28</v>
      </c>
    </row>
    <row r="187" spans="1:20" ht="43.15" customHeight="1" x14ac:dyDescent="0.25">
      <c r="A187" s="221"/>
      <c r="B187" s="224"/>
      <c r="C187" s="73">
        <v>23551.85</v>
      </c>
      <c r="D187" s="38">
        <v>23551.85</v>
      </c>
      <c r="E187" s="12">
        <v>0</v>
      </c>
      <c r="F187" s="11">
        <f t="shared" si="38"/>
        <v>23551.85</v>
      </c>
      <c r="G187" s="30" t="s">
        <v>170</v>
      </c>
      <c r="H187" s="38">
        <v>23551.85</v>
      </c>
      <c r="I187" s="38">
        <v>0</v>
      </c>
      <c r="J187" s="64">
        <v>0</v>
      </c>
      <c r="K187" s="38">
        <v>0</v>
      </c>
      <c r="L187" s="36" t="s">
        <v>28</v>
      </c>
    </row>
    <row r="188" spans="1:20" ht="15.6" customHeight="1" x14ac:dyDescent="0.25">
      <c r="A188" s="185" t="s">
        <v>70</v>
      </c>
      <c r="B188" s="185"/>
      <c r="C188" s="8">
        <f>SUM(C189:C201)</f>
        <v>985928.45</v>
      </c>
      <c r="D188" s="8">
        <f>SUM(D189:D201)</f>
        <v>638105.1</v>
      </c>
      <c r="E188" s="8">
        <f>SUM(E189:E201)</f>
        <v>-2176.65</v>
      </c>
      <c r="F188" s="8">
        <f>SUM(F189:F201)</f>
        <v>635928.44999999995</v>
      </c>
      <c r="G188" s="8"/>
      <c r="H188" s="8">
        <f>SUM(H189:H201)</f>
        <v>635928.44999999995</v>
      </c>
      <c r="I188" s="8">
        <f>SUM(I189:I201)</f>
        <v>0</v>
      </c>
      <c r="J188" s="8">
        <f>SUM(J189:J201)</f>
        <v>0</v>
      </c>
      <c r="K188" s="8">
        <f>SUM(K189:K201)</f>
        <v>0</v>
      </c>
      <c r="L188" s="10"/>
    </row>
    <row r="189" spans="1:20" ht="29.45" customHeight="1" x14ac:dyDescent="0.25">
      <c r="A189" s="90" t="s">
        <v>264</v>
      </c>
      <c r="B189" s="31" t="s">
        <v>127</v>
      </c>
      <c r="C189" s="38">
        <v>10000</v>
      </c>
      <c r="D189" s="38">
        <v>10000</v>
      </c>
      <c r="E189" s="38">
        <v>0</v>
      </c>
      <c r="F189" s="38">
        <f>D189+E189</f>
        <v>10000</v>
      </c>
      <c r="G189" s="30" t="s">
        <v>171</v>
      </c>
      <c r="H189" s="38">
        <v>10000</v>
      </c>
      <c r="I189" s="38">
        <v>0</v>
      </c>
      <c r="J189" s="38">
        <v>0</v>
      </c>
      <c r="K189" s="38">
        <v>0</v>
      </c>
      <c r="L189" s="36" t="s">
        <v>14</v>
      </c>
    </row>
    <row r="190" spans="1:20" ht="29.45" customHeight="1" x14ac:dyDescent="0.25">
      <c r="A190" s="90" t="s">
        <v>265</v>
      </c>
      <c r="B190" s="31" t="s">
        <v>273</v>
      </c>
      <c r="C190" s="38">
        <v>200000</v>
      </c>
      <c r="D190" s="38">
        <v>200000</v>
      </c>
      <c r="E190" s="38">
        <v>0</v>
      </c>
      <c r="F190" s="38">
        <v>200000</v>
      </c>
      <c r="G190" s="31" t="s">
        <v>274</v>
      </c>
      <c r="H190" s="38">
        <v>200000</v>
      </c>
      <c r="I190" s="38">
        <v>0</v>
      </c>
      <c r="J190" s="38">
        <v>0</v>
      </c>
      <c r="K190" s="38">
        <v>0</v>
      </c>
      <c r="L190" s="36" t="s">
        <v>14</v>
      </c>
      <c r="M190" s="103"/>
      <c r="N190" s="103"/>
      <c r="O190" s="103"/>
      <c r="P190" s="103"/>
      <c r="Q190" s="103"/>
      <c r="R190" s="103"/>
      <c r="S190" s="103"/>
      <c r="T190" s="103"/>
    </row>
    <row r="191" spans="1:20" ht="30.6" customHeight="1" x14ac:dyDescent="0.25">
      <c r="A191" s="90" t="s">
        <v>266</v>
      </c>
      <c r="B191" s="35" t="s">
        <v>202</v>
      </c>
      <c r="C191" s="38">
        <f>100000+70000+80000</f>
        <v>250000</v>
      </c>
      <c r="D191" s="11">
        <v>250000</v>
      </c>
      <c r="E191" s="12">
        <v>0</v>
      </c>
      <c r="F191" s="11">
        <f t="shared" ref="F191:F201" si="39">D191+E191</f>
        <v>250000</v>
      </c>
      <c r="G191" s="30" t="s">
        <v>172</v>
      </c>
      <c r="H191" s="38">
        <f>F191</f>
        <v>250000</v>
      </c>
      <c r="I191" s="38">
        <v>0</v>
      </c>
      <c r="J191" s="64">
        <v>0</v>
      </c>
      <c r="K191" s="64">
        <v>0</v>
      </c>
      <c r="L191" s="36" t="s">
        <v>14</v>
      </c>
      <c r="M191" s="103"/>
      <c r="N191" s="103"/>
      <c r="O191" s="103"/>
      <c r="P191" s="103"/>
      <c r="Q191" s="103"/>
      <c r="R191" s="103"/>
      <c r="S191" s="103"/>
      <c r="T191" s="103"/>
    </row>
    <row r="192" spans="1:20" s="108" customFormat="1" ht="30.6" customHeight="1" x14ac:dyDescent="0.25">
      <c r="A192" s="112" t="s">
        <v>267</v>
      </c>
      <c r="B192" s="53" t="s">
        <v>289</v>
      </c>
      <c r="C192" s="38">
        <f>3700+9000</f>
        <v>12700</v>
      </c>
      <c r="D192" s="11">
        <f>3700+9000</f>
        <v>12700</v>
      </c>
      <c r="E192" s="12">
        <v>0</v>
      </c>
      <c r="F192" s="11">
        <f>D192+E192</f>
        <v>12700</v>
      </c>
      <c r="G192" s="30" t="s">
        <v>315</v>
      </c>
      <c r="H192" s="38">
        <v>12700</v>
      </c>
      <c r="I192" s="38">
        <v>0</v>
      </c>
      <c r="J192" s="64">
        <v>0</v>
      </c>
      <c r="K192" s="64">
        <v>0</v>
      </c>
      <c r="L192" s="89" t="s">
        <v>14</v>
      </c>
      <c r="M192" s="103"/>
      <c r="N192" s="103"/>
      <c r="O192" s="103"/>
      <c r="P192" s="103"/>
      <c r="Q192" s="103"/>
      <c r="R192" s="103"/>
      <c r="S192" s="103"/>
      <c r="T192" s="103"/>
    </row>
    <row r="193" spans="1:20" ht="19.899999999999999" customHeight="1" x14ac:dyDescent="0.25">
      <c r="A193" s="99"/>
      <c r="B193" s="241" t="s">
        <v>201</v>
      </c>
      <c r="C193" s="238" t="s">
        <v>86</v>
      </c>
      <c r="D193" s="239"/>
      <c r="E193" s="239"/>
      <c r="F193" s="239"/>
      <c r="G193" s="239"/>
      <c r="H193" s="239"/>
      <c r="I193" s="239"/>
      <c r="J193" s="239"/>
      <c r="K193" s="239"/>
      <c r="L193" s="240"/>
      <c r="M193" s="103"/>
      <c r="N193" s="103"/>
      <c r="O193" s="103"/>
      <c r="P193" s="103"/>
      <c r="Q193" s="103"/>
      <c r="R193" s="103"/>
      <c r="S193" s="103"/>
      <c r="T193" s="103"/>
    </row>
    <row r="194" spans="1:20" ht="33.6" customHeight="1" x14ac:dyDescent="0.25">
      <c r="A194" s="121"/>
      <c r="B194" s="242"/>
      <c r="C194" s="38">
        <f>22918.57+7000</f>
        <v>29918.57</v>
      </c>
      <c r="D194" s="38">
        <f>22918.57+7000</f>
        <v>29918.57</v>
      </c>
      <c r="E194" s="12">
        <v>0</v>
      </c>
      <c r="F194" s="11">
        <f>D194+E194</f>
        <v>29918.57</v>
      </c>
      <c r="G194" s="30" t="s">
        <v>173</v>
      </c>
      <c r="H194" s="38">
        <v>29918.57</v>
      </c>
      <c r="I194" s="38">
        <v>0</v>
      </c>
      <c r="J194" s="64">
        <v>0</v>
      </c>
      <c r="K194" s="64">
        <v>0</v>
      </c>
      <c r="L194" s="36" t="s">
        <v>14</v>
      </c>
    </row>
    <row r="195" spans="1:20" ht="33.6" customHeight="1" x14ac:dyDescent="0.25">
      <c r="A195" s="121"/>
      <c r="B195" s="242"/>
      <c r="C195" s="41">
        <v>4000</v>
      </c>
      <c r="D195" s="38">
        <v>4000</v>
      </c>
      <c r="E195" s="24">
        <v>0</v>
      </c>
      <c r="F195" s="23">
        <v>4000</v>
      </c>
      <c r="G195" s="30" t="s">
        <v>224</v>
      </c>
      <c r="H195" s="38">
        <v>4000</v>
      </c>
      <c r="I195" s="41">
        <v>0</v>
      </c>
      <c r="J195" s="61">
        <v>0</v>
      </c>
      <c r="K195" s="61">
        <v>0</v>
      </c>
      <c r="L195" s="34" t="s">
        <v>14</v>
      </c>
    </row>
    <row r="196" spans="1:20" ht="43.15" customHeight="1" x14ac:dyDescent="0.25">
      <c r="A196" s="120" t="s">
        <v>268</v>
      </c>
      <c r="B196" s="242"/>
      <c r="C196" s="38">
        <v>36744.94</v>
      </c>
      <c r="D196" s="38">
        <v>36744.94</v>
      </c>
      <c r="E196" s="12">
        <v>0</v>
      </c>
      <c r="F196" s="11">
        <f t="shared" ref="F196:F197" si="40">D196+E196</f>
        <v>36744.94</v>
      </c>
      <c r="G196" s="30" t="s">
        <v>225</v>
      </c>
      <c r="H196" s="38">
        <v>36744.94</v>
      </c>
      <c r="I196" s="38">
        <v>0</v>
      </c>
      <c r="J196" s="64">
        <v>0</v>
      </c>
      <c r="K196" s="64">
        <v>0</v>
      </c>
      <c r="L196" s="36" t="s">
        <v>14</v>
      </c>
    </row>
    <row r="197" spans="1:20" ht="30.6" customHeight="1" x14ac:dyDescent="0.25">
      <c r="A197" s="121"/>
      <c r="B197" s="242"/>
      <c r="C197" s="41">
        <v>50744.94</v>
      </c>
      <c r="D197" s="38">
        <v>50744.94</v>
      </c>
      <c r="E197" s="24">
        <v>0</v>
      </c>
      <c r="F197" s="23">
        <f t="shared" si="40"/>
        <v>50744.94</v>
      </c>
      <c r="G197" s="42" t="s">
        <v>186</v>
      </c>
      <c r="H197" s="41">
        <v>50744.94</v>
      </c>
      <c r="I197" s="41">
        <v>0</v>
      </c>
      <c r="J197" s="61">
        <v>0</v>
      </c>
      <c r="K197" s="61">
        <v>0</v>
      </c>
      <c r="L197" s="34" t="s">
        <v>14</v>
      </c>
    </row>
    <row r="198" spans="1:20" ht="18.600000000000001" customHeight="1" x14ac:dyDescent="0.25">
      <c r="A198" s="121"/>
      <c r="B198" s="242"/>
      <c r="C198" s="238" t="s">
        <v>89</v>
      </c>
      <c r="D198" s="239"/>
      <c r="E198" s="239"/>
      <c r="F198" s="239"/>
      <c r="G198" s="239"/>
      <c r="H198" s="239"/>
      <c r="I198" s="239"/>
      <c r="J198" s="239"/>
      <c r="K198" s="239"/>
      <c r="L198" s="240"/>
    </row>
    <row r="199" spans="1:20" ht="22.9" customHeight="1" x14ac:dyDescent="0.25">
      <c r="A199" s="121"/>
      <c r="B199" s="242"/>
      <c r="C199" s="134">
        <f>19866.65-3490-14200-2176.65</f>
        <v>0</v>
      </c>
      <c r="D199" s="134">
        <v>2176.65</v>
      </c>
      <c r="E199" s="130">
        <v>-2176.65</v>
      </c>
      <c r="F199" s="129">
        <f t="shared" si="39"/>
        <v>0</v>
      </c>
      <c r="G199" s="135" t="s">
        <v>174</v>
      </c>
      <c r="H199" s="134">
        <f>2176.65-2176.65</f>
        <v>0</v>
      </c>
      <c r="I199" s="134">
        <v>0</v>
      </c>
      <c r="J199" s="157">
        <v>0</v>
      </c>
      <c r="K199" s="157">
        <v>0</v>
      </c>
      <c r="L199" s="132" t="s">
        <v>28</v>
      </c>
    </row>
    <row r="200" spans="1:20" ht="22.9" hidden="1" customHeight="1" x14ac:dyDescent="0.25">
      <c r="A200" s="122"/>
      <c r="B200" s="243"/>
      <c r="C200" s="38">
        <v>0</v>
      </c>
      <c r="D200" s="38">
        <v>0</v>
      </c>
      <c r="E200" s="12">
        <v>0</v>
      </c>
      <c r="F200" s="11">
        <v>0</v>
      </c>
      <c r="G200" s="30">
        <v>0</v>
      </c>
      <c r="H200" s="38">
        <v>0</v>
      </c>
      <c r="I200" s="38">
        <v>0</v>
      </c>
      <c r="J200" s="64">
        <v>0</v>
      </c>
      <c r="K200" s="64">
        <v>0</v>
      </c>
      <c r="L200" s="36">
        <v>0</v>
      </c>
    </row>
    <row r="201" spans="1:20" ht="105.6" customHeight="1" x14ac:dyDescent="0.25">
      <c r="A201" s="37" t="s">
        <v>269</v>
      </c>
      <c r="B201" s="44" t="s">
        <v>73</v>
      </c>
      <c r="C201" s="38">
        <f>20000+250000+80000+80000-38180</f>
        <v>391820</v>
      </c>
      <c r="D201" s="11">
        <f>80000-38180</f>
        <v>41820</v>
      </c>
      <c r="E201" s="12">
        <v>0</v>
      </c>
      <c r="F201" s="11">
        <f t="shared" si="39"/>
        <v>41820</v>
      </c>
      <c r="G201" s="30" t="s">
        <v>178</v>
      </c>
      <c r="H201" s="11">
        <f>80000-38180</f>
        <v>41820</v>
      </c>
      <c r="I201" s="11">
        <v>0</v>
      </c>
      <c r="J201" s="13">
        <v>0</v>
      </c>
      <c r="K201" s="11">
        <v>0</v>
      </c>
      <c r="L201" s="36" t="s">
        <v>14</v>
      </c>
      <c r="M201" s="103"/>
    </row>
    <row r="202" spans="1:20" ht="16.899999999999999" customHeight="1" x14ac:dyDescent="0.25">
      <c r="A202" s="181" t="s">
        <v>70</v>
      </c>
      <c r="B202" s="190"/>
      <c r="C202" s="8">
        <f>C203</f>
        <v>12423</v>
      </c>
      <c r="D202" s="8">
        <f t="shared" ref="D202:K202" si="41">D203</f>
        <v>13000</v>
      </c>
      <c r="E202" s="8">
        <f t="shared" si="41"/>
        <v>-577</v>
      </c>
      <c r="F202" s="8">
        <f t="shared" si="41"/>
        <v>12423</v>
      </c>
      <c r="G202" s="8"/>
      <c r="H202" s="8">
        <f t="shared" si="41"/>
        <v>12423</v>
      </c>
      <c r="I202" s="8">
        <f t="shared" si="41"/>
        <v>0</v>
      </c>
      <c r="J202" s="8">
        <f t="shared" si="41"/>
        <v>0</v>
      </c>
      <c r="K202" s="8">
        <f t="shared" si="41"/>
        <v>0</v>
      </c>
      <c r="L202" s="8"/>
      <c r="M202" s="103"/>
    </row>
    <row r="203" spans="1:20" s="108" customFormat="1" ht="46.15" customHeight="1" x14ac:dyDescent="0.25">
      <c r="A203" s="133" t="s">
        <v>272</v>
      </c>
      <c r="B203" s="149" t="s">
        <v>201</v>
      </c>
      <c r="C203" s="134">
        <f>13000-577</f>
        <v>12423</v>
      </c>
      <c r="D203" s="129">
        <v>13000</v>
      </c>
      <c r="E203" s="130">
        <v>-577</v>
      </c>
      <c r="F203" s="129">
        <f>13000-577</f>
        <v>12423</v>
      </c>
      <c r="G203" s="135" t="s">
        <v>326</v>
      </c>
      <c r="H203" s="129">
        <f>13000-577</f>
        <v>12423</v>
      </c>
      <c r="I203" s="129">
        <v>0</v>
      </c>
      <c r="J203" s="136">
        <v>0</v>
      </c>
      <c r="K203" s="129">
        <v>0</v>
      </c>
      <c r="L203" s="132" t="s">
        <v>28</v>
      </c>
    </row>
    <row r="204" spans="1:20" ht="27" customHeight="1" x14ac:dyDescent="0.25">
      <c r="A204" s="183" t="s">
        <v>325</v>
      </c>
      <c r="B204" s="184"/>
      <c r="C204" s="8">
        <f>C205</f>
        <v>100000</v>
      </c>
      <c r="D204" s="8">
        <f t="shared" ref="D204:K204" si="42">D205</f>
        <v>100000</v>
      </c>
      <c r="E204" s="8">
        <f t="shared" si="42"/>
        <v>0</v>
      </c>
      <c r="F204" s="8">
        <f t="shared" si="42"/>
        <v>100000</v>
      </c>
      <c r="G204" s="8"/>
      <c r="H204" s="8">
        <f t="shared" si="42"/>
        <v>100000</v>
      </c>
      <c r="I204" s="8">
        <f t="shared" si="42"/>
        <v>0</v>
      </c>
      <c r="J204" s="8">
        <f t="shared" si="42"/>
        <v>0</v>
      </c>
      <c r="K204" s="8">
        <f t="shared" si="42"/>
        <v>0</v>
      </c>
      <c r="L204" s="21"/>
    </row>
    <row r="205" spans="1:20" ht="20.45" customHeight="1" x14ac:dyDescent="0.25">
      <c r="A205" s="63" t="s">
        <v>335</v>
      </c>
      <c r="B205" s="44" t="s">
        <v>128</v>
      </c>
      <c r="C205" s="38">
        <v>100000</v>
      </c>
      <c r="D205" s="38">
        <v>100000</v>
      </c>
      <c r="E205" s="38">
        <v>0</v>
      </c>
      <c r="F205" s="38">
        <f>D205+E205</f>
        <v>100000</v>
      </c>
      <c r="G205" s="30" t="s">
        <v>185</v>
      </c>
      <c r="H205" s="38">
        <v>100000</v>
      </c>
      <c r="I205" s="38">
        <v>0</v>
      </c>
      <c r="J205" s="38">
        <v>0</v>
      </c>
      <c r="K205" s="38">
        <v>0</v>
      </c>
      <c r="L205" s="36" t="s">
        <v>28</v>
      </c>
    </row>
    <row r="206" spans="1:20" x14ac:dyDescent="0.25">
      <c r="A206" s="181" t="s">
        <v>74</v>
      </c>
      <c r="B206" s="182"/>
      <c r="C206" s="8">
        <f>SUM(C207:C215)</f>
        <v>1692259.97</v>
      </c>
      <c r="D206" s="8">
        <f>SUM(D207:D215)</f>
        <v>442259.97</v>
      </c>
      <c r="E206" s="8">
        <f>SUM(E207:E215)</f>
        <v>0</v>
      </c>
      <c r="F206" s="8">
        <f>SUM(F207:F215)</f>
        <v>442259.97</v>
      </c>
      <c r="G206" s="8"/>
      <c r="H206" s="8">
        <f>SUM(H207:H215)</f>
        <v>442259.97</v>
      </c>
      <c r="I206" s="8">
        <f>SUM(I207:I215)</f>
        <v>0</v>
      </c>
      <c r="J206" s="8">
        <f>SUM(J207:J215)</f>
        <v>0</v>
      </c>
      <c r="K206" s="8">
        <f>SUM(K207:K215)</f>
        <v>0</v>
      </c>
      <c r="L206" s="21"/>
    </row>
    <row r="207" spans="1:20" ht="36.6" customHeight="1" x14ac:dyDescent="0.25">
      <c r="A207" s="37">
        <v>58</v>
      </c>
      <c r="B207" s="31" t="s">
        <v>76</v>
      </c>
      <c r="C207" s="38">
        <f>1250000+250000</f>
        <v>1500000</v>
      </c>
      <c r="D207" s="11">
        <f>20000+230000</f>
        <v>250000</v>
      </c>
      <c r="E207" s="12">
        <v>0</v>
      </c>
      <c r="F207" s="11">
        <f>D207+E207</f>
        <v>250000</v>
      </c>
      <c r="G207" s="30" t="s">
        <v>271</v>
      </c>
      <c r="H207" s="38">
        <f>F207</f>
        <v>250000</v>
      </c>
      <c r="I207" s="38">
        <v>0</v>
      </c>
      <c r="J207" s="64">
        <v>0</v>
      </c>
      <c r="K207" s="64">
        <v>0</v>
      </c>
      <c r="L207" s="36" t="s">
        <v>28</v>
      </c>
    </row>
    <row r="208" spans="1:20" ht="36.6" customHeight="1" x14ac:dyDescent="0.25">
      <c r="A208" s="81" t="s">
        <v>301</v>
      </c>
      <c r="B208" s="31" t="s">
        <v>254</v>
      </c>
      <c r="C208" s="38">
        <v>50000</v>
      </c>
      <c r="D208" s="11">
        <v>50000</v>
      </c>
      <c r="E208" s="12">
        <v>0</v>
      </c>
      <c r="F208" s="11">
        <f>D208+E208</f>
        <v>50000</v>
      </c>
      <c r="G208" s="31" t="s">
        <v>258</v>
      </c>
      <c r="H208" s="38">
        <v>50000</v>
      </c>
      <c r="I208" s="38">
        <v>0</v>
      </c>
      <c r="J208" s="64">
        <v>0</v>
      </c>
      <c r="K208" s="64">
        <v>0</v>
      </c>
      <c r="L208" s="89" t="s">
        <v>14</v>
      </c>
    </row>
    <row r="209" spans="1:12" ht="31.9" customHeight="1" x14ac:dyDescent="0.25">
      <c r="A209" s="81" t="s">
        <v>302</v>
      </c>
      <c r="B209" s="44" t="s">
        <v>200</v>
      </c>
      <c r="C209" s="38">
        <v>20000</v>
      </c>
      <c r="D209" s="11">
        <v>20000</v>
      </c>
      <c r="E209" s="12">
        <v>0</v>
      </c>
      <c r="F209" s="11">
        <f t="shared" ref="F209:F211" si="43">D209+E209</f>
        <v>20000</v>
      </c>
      <c r="G209" s="30" t="s">
        <v>110</v>
      </c>
      <c r="H209" s="38">
        <v>20000</v>
      </c>
      <c r="I209" s="38">
        <v>0</v>
      </c>
      <c r="J209" s="64">
        <v>0</v>
      </c>
      <c r="K209" s="64">
        <v>0</v>
      </c>
      <c r="L209" s="89" t="s">
        <v>14</v>
      </c>
    </row>
    <row r="210" spans="1:12" ht="40.15" customHeight="1" x14ac:dyDescent="0.25">
      <c r="A210" s="81" t="s">
        <v>309</v>
      </c>
      <c r="B210" s="93" t="s">
        <v>189</v>
      </c>
      <c r="C210" s="38">
        <v>46887.5</v>
      </c>
      <c r="D210" s="11">
        <v>46887.5</v>
      </c>
      <c r="E210" s="12">
        <v>0</v>
      </c>
      <c r="F210" s="11">
        <f t="shared" si="43"/>
        <v>46887.5</v>
      </c>
      <c r="G210" s="94" t="s">
        <v>190</v>
      </c>
      <c r="H210" s="38">
        <v>46887.5</v>
      </c>
      <c r="I210" s="38">
        <v>0</v>
      </c>
      <c r="J210" s="64">
        <v>0</v>
      </c>
      <c r="K210" s="64">
        <v>0</v>
      </c>
      <c r="L210" s="89" t="s">
        <v>14</v>
      </c>
    </row>
    <row r="211" spans="1:12" ht="31.9" customHeight="1" x14ac:dyDescent="0.25">
      <c r="A211" s="81" t="s">
        <v>311</v>
      </c>
      <c r="B211" s="91" t="s">
        <v>199</v>
      </c>
      <c r="C211" s="38">
        <v>5000</v>
      </c>
      <c r="D211" s="11">
        <v>5000</v>
      </c>
      <c r="E211" s="12">
        <v>0</v>
      </c>
      <c r="F211" s="11">
        <f t="shared" si="43"/>
        <v>5000</v>
      </c>
      <c r="G211" s="30" t="s">
        <v>109</v>
      </c>
      <c r="H211" s="38">
        <v>5000</v>
      </c>
      <c r="I211" s="38">
        <v>0</v>
      </c>
      <c r="J211" s="64">
        <v>0</v>
      </c>
      <c r="K211" s="64">
        <v>0</v>
      </c>
      <c r="L211" s="89" t="s">
        <v>14</v>
      </c>
    </row>
    <row r="212" spans="1:12" ht="16.149999999999999" customHeight="1" x14ac:dyDescent="0.25">
      <c r="A212" s="219" t="s">
        <v>324</v>
      </c>
      <c r="B212" s="222" t="s">
        <v>198</v>
      </c>
      <c r="C212" s="194" t="s">
        <v>81</v>
      </c>
      <c r="D212" s="195"/>
      <c r="E212" s="195"/>
      <c r="F212" s="195"/>
      <c r="G212" s="195"/>
      <c r="H212" s="195"/>
      <c r="I212" s="195"/>
      <c r="J212" s="195"/>
      <c r="K212" s="195"/>
      <c r="L212" s="196"/>
    </row>
    <row r="213" spans="1:12" ht="31.9" customHeight="1" x14ac:dyDescent="0.25">
      <c r="A213" s="220"/>
      <c r="B213" s="223"/>
      <c r="C213" s="64">
        <v>45000</v>
      </c>
      <c r="D213" s="64">
        <v>45000</v>
      </c>
      <c r="E213" s="64">
        <v>0</v>
      </c>
      <c r="F213" s="74">
        <f>D213+E213</f>
        <v>45000</v>
      </c>
      <c r="G213" s="30" t="s">
        <v>175</v>
      </c>
      <c r="H213" s="64">
        <v>45000</v>
      </c>
      <c r="I213" s="64">
        <v>0</v>
      </c>
      <c r="J213" s="64">
        <v>0</v>
      </c>
      <c r="K213" s="64">
        <v>0</v>
      </c>
      <c r="L213" s="75" t="s">
        <v>14</v>
      </c>
    </row>
    <row r="214" spans="1:12" ht="19.149999999999999" customHeight="1" x14ac:dyDescent="0.25">
      <c r="A214" s="220"/>
      <c r="B214" s="223"/>
      <c r="C214" s="194" t="s">
        <v>82</v>
      </c>
      <c r="D214" s="195"/>
      <c r="E214" s="195"/>
      <c r="F214" s="195"/>
      <c r="G214" s="195"/>
      <c r="H214" s="195"/>
      <c r="I214" s="195"/>
      <c r="J214" s="195"/>
      <c r="K214" s="196"/>
      <c r="L214" s="74"/>
    </row>
    <row r="215" spans="1:12" ht="31.9" customHeight="1" x14ac:dyDescent="0.25">
      <c r="A215" s="221"/>
      <c r="B215" s="224"/>
      <c r="C215" s="66">
        <v>25372.47</v>
      </c>
      <c r="D215" s="66">
        <v>25372.47</v>
      </c>
      <c r="E215" s="19">
        <v>0</v>
      </c>
      <c r="F215" s="11">
        <f>D215+E215</f>
        <v>25372.47</v>
      </c>
      <c r="G215" s="42" t="s">
        <v>176</v>
      </c>
      <c r="H215" s="38">
        <v>25372.47</v>
      </c>
      <c r="I215" s="38">
        <v>0</v>
      </c>
      <c r="J215" s="64">
        <v>0</v>
      </c>
      <c r="K215" s="64">
        <v>0</v>
      </c>
      <c r="L215" s="33" t="s">
        <v>16</v>
      </c>
    </row>
    <row r="216" spans="1:12" ht="12.6" customHeight="1" x14ac:dyDescent="0.25">
      <c r="A216" s="181" t="s">
        <v>183</v>
      </c>
      <c r="B216" s="190"/>
      <c r="C216" s="67">
        <f>C217</f>
        <v>66000</v>
      </c>
      <c r="D216" s="67">
        <f t="shared" ref="D216:K216" si="44">D217</f>
        <v>66000</v>
      </c>
      <c r="E216" s="67">
        <f t="shared" si="44"/>
        <v>0</v>
      </c>
      <c r="F216" s="67">
        <f t="shared" si="44"/>
        <v>66000</v>
      </c>
      <c r="G216" s="68"/>
      <c r="H216" s="67">
        <f t="shared" si="44"/>
        <v>66000</v>
      </c>
      <c r="I216" s="67">
        <v>0</v>
      </c>
      <c r="J216" s="67">
        <v>0</v>
      </c>
      <c r="K216" s="67">
        <f t="shared" si="44"/>
        <v>0</v>
      </c>
      <c r="L216" s="62"/>
    </row>
    <row r="217" spans="1:12" ht="37.9" customHeight="1" x14ac:dyDescent="0.25">
      <c r="A217" s="77" t="s">
        <v>328</v>
      </c>
      <c r="B217" s="31" t="s">
        <v>129</v>
      </c>
      <c r="C217" s="69">
        <v>66000</v>
      </c>
      <c r="D217" s="18">
        <v>66000</v>
      </c>
      <c r="E217" s="70">
        <v>0</v>
      </c>
      <c r="F217" s="23">
        <v>66000</v>
      </c>
      <c r="G217" s="42" t="s">
        <v>177</v>
      </c>
      <c r="H217" s="41">
        <f>F217</f>
        <v>66000</v>
      </c>
      <c r="I217" s="69">
        <v>0</v>
      </c>
      <c r="J217" s="69">
        <v>0</v>
      </c>
      <c r="K217" s="69">
        <v>0</v>
      </c>
      <c r="L217" s="33" t="s">
        <v>14</v>
      </c>
    </row>
    <row r="218" spans="1:12" x14ac:dyDescent="0.25">
      <c r="A218" s="225" t="s">
        <v>79</v>
      </c>
      <c r="B218" s="225"/>
      <c r="C218" s="16">
        <f>C13+C18+C21+C23+C26+C28+C31+C89+C91+C97+C99+C101+C103+C105+C107+C109+C111+C117+C128+C132+C134+C136+C138+C140+C142+C144+C146+C182+C188+C202+C204+C206+C216</f>
        <v>156349757.45000002</v>
      </c>
      <c r="D218" s="16">
        <f>D13+D18+D21+D23+D26+D28+D31+D89+D91+D97+D99+D101+D103+D105+D107+D109+D111+D117+D128+D132+D134+D136+D138+D140+D142+D144+D146+D182+D188+D202+D204+D206+D216</f>
        <v>30881592.010000002</v>
      </c>
      <c r="E218" s="16">
        <f>E13+E18+E21+E23+E26+E28+E31+E89+E91+E97+E99+E101+E103+E105+E107+E109+E111+E117+E128+E132+E134+E136+E138+E140+E142+E144+E146+E182+E188+E202+E204+E206+E216</f>
        <v>-2457331.5700000003</v>
      </c>
      <c r="F218" s="16">
        <f>F13+F18+F21+F23+F26+F28+F31+F89+F91+F97+F99+F101+F103+F105+F107+F109+F111+F117+F128+F132+F134+F136+F138+F140+F142+F144+F146+F182+F188+F202+F204+F206+F216</f>
        <v>28424260.439999998</v>
      </c>
      <c r="G218" s="16"/>
      <c r="H218" s="16">
        <f>H13+H18+H21+H23+H26+H28+H31+H89+H91+H97+H99+H101+H103+H105+H107+H109+H111+H117+H128+H132+H134+H136+H138+H140+H142+H144+H146+H182+H188+H202+H204+H206+H216</f>
        <v>27780116.679999992</v>
      </c>
      <c r="I218" s="16">
        <f>I13+I18+I21+I23+I26+I28+I31+I89+I91+I97+I99+I101+I103+I105+I107+I109+I111+I117+I128+I132+I134+I136+I138+I140+I142+I144+I146+I182+I188+I202+I204+I206+I216</f>
        <v>0</v>
      </c>
      <c r="J218" s="16">
        <f>J13+J18+J21+J23+J26+J28+J31+J89+J91+J97+J99+J101+J103+J105+J107+J109+J111+J117+J128+J132+J134+J136+J138+J140+J142+J144+J146+J182+J188+J202+J204+J206+J216</f>
        <v>644143.76</v>
      </c>
      <c r="K218" s="16">
        <f>K13+K18+K21+K23+K26+K28+K31+K89+K91+K97+K99+K101+K103+K105+K107+K109+K111+K117+K128+K132+K134+K136+K138+K140+K142+K144+K146+K182+K188+K202+K204+K206+K216</f>
        <v>0</v>
      </c>
      <c r="L218" s="16"/>
    </row>
    <row r="219" spans="1:12" x14ac:dyDescent="0.25"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x14ac:dyDescent="0.25">
      <c r="G220" s="22"/>
    </row>
    <row r="221" spans="1:12" x14ac:dyDescent="0.25">
      <c r="E221" s="22"/>
      <c r="F221" s="22"/>
      <c r="G221" s="22"/>
    </row>
    <row r="222" spans="1:12" x14ac:dyDescent="0.25">
      <c r="F222" s="102"/>
      <c r="G222" s="22"/>
    </row>
    <row r="223" spans="1:12" x14ac:dyDescent="0.25">
      <c r="G223" s="22"/>
    </row>
    <row r="224" spans="1:12" x14ac:dyDescent="0.25">
      <c r="E224" s="22"/>
    </row>
    <row r="225" spans="2:7" x14ac:dyDescent="0.25">
      <c r="G225" s="22"/>
    </row>
    <row r="226" spans="2:7" x14ac:dyDescent="0.25">
      <c r="B226" s="22"/>
      <c r="C226" s="127"/>
      <c r="D226" s="127"/>
      <c r="E226" s="127"/>
      <c r="F226" s="127"/>
      <c r="G226" s="22"/>
    </row>
    <row r="227" spans="2:7" x14ac:dyDescent="0.25">
      <c r="B227" s="22"/>
      <c r="C227" s="22"/>
      <c r="D227" s="22"/>
      <c r="E227" s="22"/>
      <c r="F227" s="22"/>
      <c r="G227" s="22"/>
    </row>
    <row r="228" spans="2:7" x14ac:dyDescent="0.25">
      <c r="B228" s="22"/>
      <c r="C228" s="22"/>
      <c r="D228" s="22"/>
      <c r="E228" s="22"/>
      <c r="F228" s="22"/>
      <c r="G228" s="22"/>
    </row>
    <row r="229" spans="2:7" x14ac:dyDescent="0.25">
      <c r="B229" s="22"/>
      <c r="C229" s="22"/>
      <c r="D229" s="22"/>
      <c r="E229" s="22"/>
      <c r="F229" s="22"/>
      <c r="G229" s="22"/>
    </row>
    <row r="230" spans="2:7" x14ac:dyDescent="0.25">
      <c r="B230" s="22"/>
      <c r="C230" s="22"/>
      <c r="D230" s="22"/>
      <c r="E230" s="22"/>
      <c r="F230" s="22"/>
      <c r="G230" s="22"/>
    </row>
  </sheetData>
  <mergeCells count="79">
    <mergeCell ref="C95:L95"/>
    <mergeCell ref="C93:L93"/>
    <mergeCell ref="A202:B202"/>
    <mergeCell ref="A109:B109"/>
    <mergeCell ref="A128:B128"/>
    <mergeCell ref="A182:B182"/>
    <mergeCell ref="C198:L198"/>
    <mergeCell ref="C193:L193"/>
    <mergeCell ref="C184:L184"/>
    <mergeCell ref="A188:B188"/>
    <mergeCell ref="A184:A187"/>
    <mergeCell ref="B184:B187"/>
    <mergeCell ref="B193:B200"/>
    <mergeCell ref="A89:B89"/>
    <mergeCell ref="A103:B103"/>
    <mergeCell ref="A111:B111"/>
    <mergeCell ref="B112:B115"/>
    <mergeCell ref="A112:A115"/>
    <mergeCell ref="A107:B107"/>
    <mergeCell ref="A91:B91"/>
    <mergeCell ref="A101:B101"/>
    <mergeCell ref="B93:B96"/>
    <mergeCell ref="A93:A96"/>
    <mergeCell ref="A218:B218"/>
    <mergeCell ref="B212:B215"/>
    <mergeCell ref="A212:A215"/>
    <mergeCell ref="A204:B204"/>
    <mergeCell ref="C212:L212"/>
    <mergeCell ref="C214:K214"/>
    <mergeCell ref="A216:B216"/>
    <mergeCell ref="A206:B206"/>
    <mergeCell ref="A21:B21"/>
    <mergeCell ref="B32:B88"/>
    <mergeCell ref="C179:L179"/>
    <mergeCell ref="C175:L175"/>
    <mergeCell ref="A146:B146"/>
    <mergeCell ref="A117:B117"/>
    <mergeCell ref="A132:B132"/>
    <mergeCell ref="A144:B144"/>
    <mergeCell ref="A138:B138"/>
    <mergeCell ref="A147:A173"/>
    <mergeCell ref="B147:B173"/>
    <mergeCell ref="A134:B134"/>
    <mergeCell ref="A140:B140"/>
    <mergeCell ref="A136:B136"/>
    <mergeCell ref="A175:A181"/>
    <mergeCell ref="B175:B181"/>
    <mergeCell ref="A13:B13"/>
    <mergeCell ref="A23:B23"/>
    <mergeCell ref="A26:B26"/>
    <mergeCell ref="E6:E11"/>
    <mergeCell ref="A142:B142"/>
    <mergeCell ref="A105:B105"/>
    <mergeCell ref="A31:B31"/>
    <mergeCell ref="A18:B18"/>
    <mergeCell ref="C82:L82"/>
    <mergeCell ref="A28:B28"/>
    <mergeCell ref="A99:B99"/>
    <mergeCell ref="C85:L85"/>
    <mergeCell ref="C112:L112"/>
    <mergeCell ref="C115:L115"/>
    <mergeCell ref="A97:B97"/>
    <mergeCell ref="A32:A88"/>
    <mergeCell ref="A1:L1"/>
    <mergeCell ref="A2:L2"/>
    <mergeCell ref="A3:L3"/>
    <mergeCell ref="A4:L4"/>
    <mergeCell ref="L6:L11"/>
    <mergeCell ref="H8:H11"/>
    <mergeCell ref="I8:I11"/>
    <mergeCell ref="J8:J11"/>
    <mergeCell ref="K8:K11"/>
    <mergeCell ref="H6:K7"/>
    <mergeCell ref="A6:A11"/>
    <mergeCell ref="B6:B10"/>
    <mergeCell ref="C6:C11"/>
    <mergeCell ref="D6:D11"/>
    <mergeCell ref="F6:F11"/>
    <mergeCell ref="G6:G11"/>
  </mergeCells>
  <phoneticPr fontId="22" type="noConversion"/>
  <pageMargins left="0" right="0" top="0.74803149606299213" bottom="0.74803149606299213" header="0.31496062992125984" footer="0.31496062992125984"/>
  <pageSetup paperSize="9" orientation="landscape" horizontalDpi="4294967295" verticalDpi="4294967295" r:id="rId1"/>
  <rowBreaks count="1" manualBreakCount="1"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Zadania majątkowe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2022-11-23T12:16:44Z</cp:lastPrinted>
  <dcterms:created xsi:type="dcterms:W3CDTF">2021-11-26T13:43:12Z</dcterms:created>
  <dcterms:modified xsi:type="dcterms:W3CDTF">2022-11-24T13:08:20Z</dcterms:modified>
</cp:coreProperties>
</file>