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8_{B0FAF1C2-B9D7-46E3-B537-4493B5E562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ączni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9" i="1" l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J64" i="1"/>
  <c r="I64" i="1"/>
  <c r="H64" i="1"/>
  <c r="G64" i="1"/>
  <c r="F64" i="1"/>
  <c r="E64" i="1"/>
  <c r="D64" i="1"/>
  <c r="C64" i="1"/>
  <c r="J63" i="1"/>
  <c r="I63" i="1"/>
  <c r="H63" i="1"/>
  <c r="G63" i="1"/>
  <c r="F63" i="1"/>
  <c r="E63" i="1"/>
  <c r="D63" i="1"/>
  <c r="C63" i="1"/>
  <c r="R62" i="1"/>
  <c r="J62" i="1"/>
  <c r="W61" i="1"/>
  <c r="O61" i="1"/>
  <c r="G61" i="1"/>
  <c r="T60" i="1"/>
  <c r="L60" i="1"/>
  <c r="D60" i="1"/>
  <c r="D65" i="1" s="1"/>
  <c r="Q58" i="1"/>
  <c r="I58" i="1"/>
  <c r="W48" i="1"/>
  <c r="V48" i="1"/>
  <c r="U48" i="1"/>
  <c r="T48" i="1"/>
  <c r="S48" i="1"/>
  <c r="S45" i="1" s="1"/>
  <c r="S60" i="1" s="1"/>
  <c r="R48" i="1"/>
  <c r="Q48" i="1"/>
  <c r="P48" i="1"/>
  <c r="O48" i="1"/>
  <c r="N48" i="1"/>
  <c r="M48" i="1"/>
  <c r="L48" i="1"/>
  <c r="K48" i="1"/>
  <c r="K45" i="1" s="1"/>
  <c r="K60" i="1" s="1"/>
  <c r="J48" i="1"/>
  <c r="I48" i="1"/>
  <c r="H48" i="1"/>
  <c r="G48" i="1"/>
  <c r="F48" i="1"/>
  <c r="E48" i="1"/>
  <c r="D48" i="1"/>
  <c r="C48" i="1"/>
  <c r="C45" i="1" s="1"/>
  <c r="C60" i="1" s="1"/>
  <c r="W45" i="1"/>
  <c r="W60" i="1" s="1"/>
  <c r="V45" i="1"/>
  <c r="V60" i="1" s="1"/>
  <c r="U45" i="1"/>
  <c r="U60" i="1" s="1"/>
  <c r="T45" i="1"/>
  <c r="R45" i="1"/>
  <c r="R60" i="1" s="1"/>
  <c r="Q45" i="1"/>
  <c r="Q60" i="1" s="1"/>
  <c r="P45" i="1"/>
  <c r="P60" i="1" s="1"/>
  <c r="O45" i="1"/>
  <c r="O60" i="1" s="1"/>
  <c r="N45" i="1"/>
  <c r="N60" i="1" s="1"/>
  <c r="M45" i="1"/>
  <c r="M60" i="1" s="1"/>
  <c r="L45" i="1"/>
  <c r="J45" i="1"/>
  <c r="J60" i="1" s="1"/>
  <c r="I45" i="1"/>
  <c r="I60" i="1" s="1"/>
  <c r="H45" i="1"/>
  <c r="H60" i="1" s="1"/>
  <c r="G45" i="1"/>
  <c r="G60" i="1" s="1"/>
  <c r="F45" i="1"/>
  <c r="F60" i="1" s="1"/>
  <c r="E45" i="1"/>
  <c r="E60" i="1" s="1"/>
  <c r="D45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T30" i="1"/>
  <c r="T103" i="1" s="1"/>
  <c r="L30" i="1"/>
  <c r="L103" i="1" s="1"/>
  <c r="W26" i="1"/>
  <c r="V26" i="1"/>
  <c r="U26" i="1"/>
  <c r="T26" i="1"/>
  <c r="S26" i="1"/>
  <c r="R26" i="1"/>
  <c r="Q26" i="1"/>
  <c r="Q15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W16" i="1"/>
  <c r="V16" i="1"/>
  <c r="V15" i="1" s="1"/>
  <c r="U16" i="1"/>
  <c r="T16" i="1"/>
  <c r="S16" i="1"/>
  <c r="R16" i="1"/>
  <c r="Q16" i="1"/>
  <c r="P16" i="1"/>
  <c r="O16" i="1"/>
  <c r="O15" i="1" s="1"/>
  <c r="N16" i="1"/>
  <c r="N15" i="1" s="1"/>
  <c r="M16" i="1"/>
  <c r="L16" i="1"/>
  <c r="K16" i="1"/>
  <c r="J16" i="1"/>
  <c r="I16" i="1"/>
  <c r="I15" i="1" s="1"/>
  <c r="H16" i="1"/>
  <c r="G16" i="1"/>
  <c r="G15" i="1" s="1"/>
  <c r="F16" i="1"/>
  <c r="F15" i="1" s="1"/>
  <c r="E16" i="1"/>
  <c r="D16" i="1"/>
  <c r="C16" i="1"/>
  <c r="W15" i="1"/>
  <c r="U15" i="1"/>
  <c r="T15" i="1"/>
  <c r="S15" i="1"/>
  <c r="R15" i="1"/>
  <c r="P15" i="1"/>
  <c r="M15" i="1"/>
  <c r="L15" i="1"/>
  <c r="K15" i="1"/>
  <c r="J15" i="1"/>
  <c r="H15" i="1"/>
  <c r="E15" i="1"/>
  <c r="D15" i="1"/>
  <c r="C15" i="1"/>
  <c r="W11" i="1"/>
  <c r="V11" i="1"/>
  <c r="U11" i="1"/>
  <c r="T11" i="1"/>
  <c r="S11" i="1"/>
  <c r="R11" i="1"/>
  <c r="Q11" i="1"/>
  <c r="P11" i="1"/>
  <c r="P2" i="1" s="1"/>
  <c r="O11" i="1"/>
  <c r="N11" i="1"/>
  <c r="M11" i="1"/>
  <c r="L11" i="1"/>
  <c r="K11" i="1"/>
  <c r="J11" i="1"/>
  <c r="I11" i="1"/>
  <c r="H11" i="1"/>
  <c r="H2" i="1" s="1"/>
  <c r="G11" i="1"/>
  <c r="F11" i="1"/>
  <c r="E11" i="1"/>
  <c r="D11" i="1"/>
  <c r="C11" i="1"/>
  <c r="W3" i="1"/>
  <c r="W62" i="1" s="1"/>
  <c r="V3" i="1"/>
  <c r="V58" i="1" s="1"/>
  <c r="U3" i="1"/>
  <c r="U58" i="1" s="1"/>
  <c r="T3" i="1"/>
  <c r="T61" i="1" s="1"/>
  <c r="S3" i="1"/>
  <c r="S57" i="1" s="1"/>
  <c r="R3" i="1"/>
  <c r="R57" i="1" s="1"/>
  <c r="Q3" i="1"/>
  <c r="Q57" i="1" s="1"/>
  <c r="P3" i="1"/>
  <c r="P57" i="1" s="1"/>
  <c r="O3" i="1"/>
  <c r="O62" i="1" s="1"/>
  <c r="N3" i="1"/>
  <c r="N58" i="1" s="1"/>
  <c r="M3" i="1"/>
  <c r="M58" i="1" s="1"/>
  <c r="L3" i="1"/>
  <c r="L61" i="1" s="1"/>
  <c r="K3" i="1"/>
  <c r="K57" i="1" s="1"/>
  <c r="J3" i="1"/>
  <c r="J57" i="1" s="1"/>
  <c r="I3" i="1"/>
  <c r="I57" i="1" s="1"/>
  <c r="H3" i="1"/>
  <c r="H57" i="1" s="1"/>
  <c r="G3" i="1"/>
  <c r="G62" i="1" s="1"/>
  <c r="F3" i="1"/>
  <c r="F58" i="1" s="1"/>
  <c r="E3" i="1"/>
  <c r="E58" i="1" s="1"/>
  <c r="D3" i="1"/>
  <c r="D61" i="1" s="1"/>
  <c r="C3" i="1"/>
  <c r="C57" i="1" s="1"/>
  <c r="W2" i="1"/>
  <c r="W104" i="1" s="1"/>
  <c r="T2" i="1"/>
  <c r="T104" i="1" s="1"/>
  <c r="S2" i="1"/>
  <c r="S104" i="1" s="1"/>
  <c r="R2" i="1"/>
  <c r="R104" i="1" s="1"/>
  <c r="Q2" i="1"/>
  <c r="Q30" i="1" s="1"/>
  <c r="O2" i="1"/>
  <c r="O104" i="1" s="1"/>
  <c r="L2" i="1"/>
  <c r="L104" i="1" s="1"/>
  <c r="K2" i="1"/>
  <c r="K104" i="1" s="1"/>
  <c r="J2" i="1"/>
  <c r="J104" i="1" s="1"/>
  <c r="I2" i="1"/>
  <c r="I30" i="1" s="1"/>
  <c r="G2" i="1"/>
  <c r="G104" i="1" s="1"/>
  <c r="C2" i="1"/>
  <c r="C104" i="1" s="1"/>
  <c r="E65" i="1" l="1"/>
  <c r="E66" i="1"/>
  <c r="H30" i="1"/>
  <c r="H104" i="1"/>
  <c r="P30" i="1"/>
  <c r="P104" i="1"/>
  <c r="H65" i="1"/>
  <c r="H66" i="1"/>
  <c r="G65" i="1"/>
  <c r="G66" i="1"/>
  <c r="Q103" i="1"/>
  <c r="Q31" i="1"/>
  <c r="I66" i="1"/>
  <c r="I65" i="1"/>
  <c r="J66" i="1"/>
  <c r="J65" i="1"/>
  <c r="F66" i="1"/>
  <c r="F65" i="1"/>
  <c r="I103" i="1"/>
  <c r="I31" i="1"/>
  <c r="C66" i="1"/>
  <c r="C65" i="1"/>
  <c r="N57" i="1"/>
  <c r="J30" i="1"/>
  <c r="R30" i="1"/>
  <c r="D57" i="1"/>
  <c r="L57" i="1"/>
  <c r="T57" i="1"/>
  <c r="G58" i="1"/>
  <c r="O58" i="1"/>
  <c r="W58" i="1"/>
  <c r="E61" i="1"/>
  <c r="M61" i="1"/>
  <c r="U61" i="1"/>
  <c r="H62" i="1"/>
  <c r="P62" i="1"/>
  <c r="D66" i="1"/>
  <c r="F57" i="1"/>
  <c r="V57" i="1"/>
  <c r="C30" i="1"/>
  <c r="K30" i="1"/>
  <c r="S30" i="1"/>
  <c r="E57" i="1"/>
  <c r="M57" i="1"/>
  <c r="U57" i="1"/>
  <c r="H58" i="1"/>
  <c r="P58" i="1"/>
  <c r="F61" i="1"/>
  <c r="N61" i="1"/>
  <c r="V61" i="1"/>
  <c r="I62" i="1"/>
  <c r="Q62" i="1"/>
  <c r="I104" i="1"/>
  <c r="Q104" i="1"/>
  <c r="G57" i="1"/>
  <c r="O57" i="1"/>
  <c r="W57" i="1"/>
  <c r="J58" i="1"/>
  <c r="R58" i="1"/>
  <c r="H61" i="1"/>
  <c r="P61" i="1"/>
  <c r="C62" i="1"/>
  <c r="K62" i="1"/>
  <c r="S62" i="1"/>
  <c r="C58" i="1"/>
  <c r="K58" i="1"/>
  <c r="S58" i="1"/>
  <c r="I61" i="1"/>
  <c r="Q61" i="1"/>
  <c r="D62" i="1"/>
  <c r="L62" i="1"/>
  <c r="T62" i="1"/>
  <c r="G30" i="1"/>
  <c r="O30" i="1"/>
  <c r="W30" i="1"/>
  <c r="D58" i="1"/>
  <c r="L58" i="1"/>
  <c r="T58" i="1"/>
  <c r="J61" i="1"/>
  <c r="Q64" i="1" s="1"/>
  <c r="Q66" i="1" s="1"/>
  <c r="R61" i="1"/>
  <c r="E62" i="1"/>
  <c r="M62" i="1"/>
  <c r="U62" i="1"/>
  <c r="D2" i="1"/>
  <c r="E2" i="1"/>
  <c r="M2" i="1"/>
  <c r="U2" i="1"/>
  <c r="F2" i="1"/>
  <c r="N2" i="1"/>
  <c r="V2" i="1"/>
  <c r="C61" i="1"/>
  <c r="K61" i="1"/>
  <c r="S61" i="1"/>
  <c r="F62" i="1"/>
  <c r="N62" i="1"/>
  <c r="V62" i="1"/>
  <c r="L31" i="1"/>
  <c r="T31" i="1"/>
  <c r="F104" i="1" l="1"/>
  <c r="F30" i="1"/>
  <c r="U64" i="1"/>
  <c r="U66" i="1" s="1"/>
  <c r="U63" i="1"/>
  <c r="U65" i="1" s="1"/>
  <c r="K103" i="1"/>
  <c r="K31" i="1"/>
  <c r="M104" i="1"/>
  <c r="M30" i="1"/>
  <c r="C103" i="1"/>
  <c r="C31" i="1"/>
  <c r="K64" i="1"/>
  <c r="K66" i="1" s="1"/>
  <c r="K63" i="1"/>
  <c r="K65" i="1" s="1"/>
  <c r="E104" i="1"/>
  <c r="E30" i="1"/>
  <c r="W63" i="1"/>
  <c r="W65" i="1" s="1"/>
  <c r="W64" i="1"/>
  <c r="W66" i="1" s="1"/>
  <c r="T64" i="1"/>
  <c r="T66" i="1" s="1"/>
  <c r="T63" i="1"/>
  <c r="T65" i="1" s="1"/>
  <c r="R103" i="1"/>
  <c r="R31" i="1"/>
  <c r="P103" i="1"/>
  <c r="P31" i="1"/>
  <c r="R63" i="1"/>
  <c r="R65" i="1" s="1"/>
  <c r="R64" i="1"/>
  <c r="R66" i="1" s="1"/>
  <c r="D104" i="1"/>
  <c r="D30" i="1"/>
  <c r="Q63" i="1"/>
  <c r="Q65" i="1" s="1"/>
  <c r="P63" i="1"/>
  <c r="P65" i="1" s="1"/>
  <c r="P64" i="1"/>
  <c r="P66" i="1" s="1"/>
  <c r="O64" i="1"/>
  <c r="O66" i="1" s="1"/>
  <c r="J103" i="1"/>
  <c r="J31" i="1"/>
  <c r="V63" i="1"/>
  <c r="V65" i="1" s="1"/>
  <c r="U104" i="1"/>
  <c r="U30" i="1"/>
  <c r="L64" i="1"/>
  <c r="L66" i="1" s="1"/>
  <c r="L63" i="1"/>
  <c r="L65" i="1" s="1"/>
  <c r="W103" i="1"/>
  <c r="W31" i="1"/>
  <c r="S63" i="1"/>
  <c r="S65" i="1" s="1"/>
  <c r="O63" i="1"/>
  <c r="O65" i="1" s="1"/>
  <c r="H103" i="1"/>
  <c r="H31" i="1"/>
  <c r="N63" i="1"/>
  <c r="N65" i="1" s="1"/>
  <c r="N64" i="1"/>
  <c r="N66" i="1" s="1"/>
  <c r="V104" i="1"/>
  <c r="V30" i="1"/>
  <c r="O31" i="1"/>
  <c r="O103" i="1"/>
  <c r="S64" i="1"/>
  <c r="S66" i="1" s="1"/>
  <c r="N104" i="1"/>
  <c r="N30" i="1"/>
  <c r="M64" i="1"/>
  <c r="M66" i="1" s="1"/>
  <c r="M63" i="1"/>
  <c r="M65" i="1" s="1"/>
  <c r="G31" i="1"/>
  <c r="G103" i="1"/>
  <c r="S103" i="1"/>
  <c r="S31" i="1"/>
  <c r="V64" i="1"/>
  <c r="V66" i="1" s="1"/>
  <c r="M103" i="1" l="1"/>
  <c r="M31" i="1"/>
  <c r="V103" i="1"/>
  <c r="V31" i="1"/>
  <c r="E103" i="1"/>
  <c r="E31" i="1"/>
  <c r="N103" i="1"/>
  <c r="N31" i="1"/>
  <c r="U103" i="1"/>
  <c r="U31" i="1"/>
  <c r="D103" i="1"/>
  <c r="D31" i="1"/>
  <c r="F103" i="1"/>
  <c r="F31" i="1"/>
</calcChain>
</file>

<file path=xl/sharedStrings.xml><?xml version="1.0" encoding="utf-8"?>
<sst xmlns="http://schemas.openxmlformats.org/spreadsheetml/2006/main" count="334" uniqueCount="221">
  <si>
    <t>Lp.</t>
  </si>
  <si>
    <t>Wyszczególnienie</t>
  </si>
  <si>
    <t>2015</t>
  </si>
  <si>
    <t>2016</t>
  </si>
  <si>
    <t>2017</t>
  </si>
  <si>
    <t>2018</t>
  </si>
  <si>
    <t>2019</t>
  </si>
  <si>
    <t>2020</t>
  </si>
  <si>
    <t>2021 3kw.</t>
  </si>
  <si>
    <t>2021 pw.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</si>
  <si>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</si>
  <si>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</si>
  <si>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</si>
  <si>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</si>
  <si>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</si>
  <si>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</si>
  <si>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</si>
  <si>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</si>
  <si>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</si>
  <si>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</si>
  <si>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</si>
  <si>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</si>
  <si>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</si>
  <si>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1</t>
  </si>
  <si>
    <t>Dochody ogółem</t>
  </si>
  <si>
    <t>1.1</t>
  </si>
  <si>
    <t>Dochody bieżące, z tego:</t>
  </si>
  <si>
    <t>1.1.1</t>
  </si>
  <si>
    <t>dochody z tytułu udziału we wpływach z podatku dochodowego od osób fizycznych</t>
  </si>
  <si>
    <t>1.1.2</t>
  </si>
  <si>
    <t>dochody z tytułu udziału we wpływach z 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</si>
  <si>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</si>
  <si>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</si>
  <si>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</si>
  <si>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</si>
  <si>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</si>
  <si>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 tym:</t>
  </si>
  <si>
    <t>1.1.5.1</t>
  </si>
  <si>
    <t>z podatku od nieruchomości</t>
  </si>
  <si>
    <t>1.1.x</t>
  </si>
  <si>
    <t>Inne</t>
  </si>
  <si>
    <t>1.2</t>
  </si>
  <si>
    <t>Dochody majątkowe, w tym: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</si>
  <si>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</si>
  <si>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</si>
  <si>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</si>
  <si>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</si>
  <si>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</si>
  <si>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</si>
  <si>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</si>
  <si>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</si>
  <si>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 tym:</t>
  </si>
  <si>
    <t>2.1.1</t>
  </si>
  <si>
    <t>na wynagrodzenia i składki od nich naliczane</t>
  </si>
  <si>
    <t>2.1.2</t>
  </si>
  <si>
    <t>z tytułu poręczeń i gwarancji, w tym:</t>
  </si>
  <si>
    <t>2.1.2.1</t>
  </si>
  <si>
    <t>gwarancje i poręczenia podlegające wyłączeniu z limitu spłaty zobowiązań, o którym mowa w art. 243 ustawy</t>
  </si>
  <si>
    <t>2.1.3</t>
  </si>
  <si>
    <t>wydatki na obsługę długu, w tym:</t>
  </si>
  <si>
    <t>2.1.3.x</t>
  </si>
  <si>
    <t>odsetki i dyskonto</t>
  </si>
  <si>
    <t>2.1.3.1</t>
  </si>
  <si>
    <t>odsetki i dyskonto podlegające wyłączeniu z limitu spłaty zobowiązań, o którym mowa w art. 243 ustawy, w 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</si>
  <si>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</si>
  <si>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 limitu spłaty zobowiązań, o 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</si>
  <si>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</si>
  <si>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</si>
  <si>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2.1.x</t>
  </si>
  <si>
    <t>2.2</t>
  </si>
  <si>
    <t>Wydatki majątkowe, w tym:</t>
  </si>
  <si>
    <t>2.2.1</t>
  </si>
  <si>
    <t>Inwestycje i zakupy inwestycyjne, o których mowa w art. 236 ust. 4 pkt 1 ustawy, w tym:</t>
  </si>
  <si>
    <t>2.2.1.1</t>
  </si>
  <si>
    <t>wydatki o charakterze dotacyjnym na inwestycje i zakupy inwestycyjne</t>
  </si>
  <si>
    <t>2.2.x</t>
  </si>
  <si>
    <t>3</t>
  </si>
  <si>
    <t>Wynik budżetu</t>
  </si>
  <si>
    <t>3.1</t>
  </si>
  <si>
    <t>Kwota prognozowanej nadwyżki budżetu przeznaczana na spłatę kredytów, pożyczek i wykup papierów wartościowych</t>
  </si>
  <si>
    <t>4</t>
  </si>
  <si>
    <t>Przychody budżetu</t>
  </si>
  <si>
    <t>4.1</t>
  </si>
  <si>
    <t>Kredyty, pożyczki, emisja papierów wartościowych, w tym:</t>
  </si>
  <si>
    <t>4.1.1</t>
  </si>
  <si>
    <t>na pokrycie deficytu budżetu</t>
  </si>
  <si>
    <t>4.2</t>
  </si>
  <si>
    <t>Nadwyżka budżetowa z lat ubiegłych, w tym:</t>
  </si>
  <si>
    <t>4.2.1</t>
  </si>
  <si>
    <t>4.3</t>
  </si>
  <si>
    <t>Wolne środki, o których mowa w art. 217 ust. 2 pkt 6 ustawy, w tym:</t>
  </si>
  <si>
    <t>4.3.1</t>
  </si>
  <si>
    <t>4.4</t>
  </si>
  <si>
    <t>Spłaty udzielonych pożyczek w latach ubiegłych, w tym:</t>
  </si>
  <si>
    <t>4.4.1</t>
  </si>
  <si>
    <t>4.5</t>
  </si>
  <si>
    <t>Inne przychody niezwiązane z zaciągnięciem długu, w tym:</t>
  </si>
  <si>
    <t>4.5.1</t>
  </si>
  <si>
    <t>5</t>
  </si>
  <si>
    <t>Rozchody budżetu</t>
  </si>
  <si>
    <t>5.1</t>
  </si>
  <si>
    <t>Spłaty rat kapitałowych kredytów i pożyczek oraz wykup papierów wartościowych, w 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</si>
  <si>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</si>
  <si>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</si>
  <si>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</si>
  <si>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 art. 243 ust. 3 ustawy</t>
  </si>
  <si>
    <t>5.1.1.2</t>
  </si>
  <si>
    <t>kwota przypadających na dany rok kwot wyłączeń określonych w art. 243 ust. 3a ustawy</t>
  </si>
  <si>
    <t>5.1.1.3</t>
  </si>
  <si>
    <t>kwota wyłączeń z tytułu wcześniejszej spłaty zobowiązań, określonych w art. 243 ust. 3b ustawy, z tego:</t>
  </si>
  <si>
    <t>5.1.1.3.1</t>
  </si>
  <si>
    <t>środkami nowego zobowiązania</t>
  </si>
  <si>
    <t>5.1.1.3.2</t>
  </si>
  <si>
    <t>wolnymi środkami, o których mowa w art. 217 ust. 2 pkt 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</si>
  <si>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</si>
  <si>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</si>
  <si>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</si>
  <si>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</si>
  <si>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</si>
  <si>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rozchody, niezwiązane ze spłatą długu</t>
  </si>
  <si>
    <t>6</t>
  </si>
  <si>
    <t>Kwota długu, w tym:</t>
  </si>
  <si>
    <t>6.1</t>
  </si>
  <si>
    <t>kwota długu, którego planowana spłata dokona się z wydatków</t>
  </si>
  <si>
    <t>7</t>
  </si>
  <si>
    <t>Relacja zrównoważenia wydatków bieżących, o której mowa w art. 242 ustawy</t>
  </si>
  <si>
    <t/>
  </si>
  <si>
    <t>7.1</t>
  </si>
  <si>
    <t>Różnica między dochodami bieżącymi a wydatkami bieżącymi</t>
  </si>
  <si>
    <t>7.2</t>
  </si>
  <si>
    <t>Różnica między dochodami bieżącymi, skorygowanymi o środki, a wydatkami bieżącymi</t>
  </si>
  <si>
    <t>8</t>
  </si>
  <si>
    <t>Wskaźnik spłaty zobowiązań</t>
  </si>
  <si>
    <t>8.1</t>
  </si>
  <si>
    <t>Relacja określona po lewej stronie nierówności we wzorze, o którym mowa w art. 243 ust. 1 ustawy (po uwzględnieniu zobowiązań związku współtworzonego przez jednostkę samorządu terytorialnego oraz po uwzględnieniu ustawowych wyłączeń przypadających na dany rok)</t>
  </si>
  <si>
    <t>8.2</t>
  </si>
  <si>
    <t>Relacja określona po prawej stronie nierówności we wzorze, o którym mowa w art. 243 ust. 1 ustawy, ustalona dla danego roku (wkaźnik jednoroczny)</t>
  </si>
  <si>
    <t>8.2.x</t>
  </si>
  <si>
    <t>Wskaźnik jednoroczny określony po prawej stronie nierówności we wzorze, o którym mowa w art. 243 ust. 1 ustawy, ustalony dla danego roku (wskaźnik jednoroczny)</t>
  </si>
  <si>
    <t>8.3</t>
  </si>
  <si>
    <t>Dopuszczalny limit spłaty zobowiązań określony po prawej stronie nierówności we wzorze, o którym mowa w art. 243 ustawy, po uwzględnieniu ustawowych wyłączeń, obliczony w oparciu o plan 3. kwartału roku poprzedzającego pierwszy rok prognozy (wskaźnik ustalony w oparciu o średnią arytmetyczną z poprzednich lat)</t>
  </si>
  <si>
    <t>8.3.1</t>
  </si>
  <si>
    <t>Dopuszczalny limit spłaty zobowiązań określony po prawej stronie nierówności we wzorze, o którym mowa w art. 243 ustawy, po uwzględnieniu ustawowych wyłączeń, obliczony w oparciu o wykonanie roku poprzedzającego pierwszy rok prognozy (wskaźnik ustalony w oparciu o średnią arytmetyczną z poprzednich lat)</t>
  </si>
  <si>
    <t>8.4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</si>
  <si>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plan 3 kwartałów roku poprzedzającego rok budżetowy</t>
  </si>
  <si>
    <t>8.4.1</t>
  </si>
  <si>
    <t>Informacja o spełnieniu wskaźnika spłaty zobowiązań określonego w art. 243 ustawy, po uwzględnieniu zobowiązań związku współtworzonego przez jednostkę samorządu terytorialnego oraz po uwzględnieniu ustawowych wyłączeń, obliczonego w oparciu o wykonanie roku poprzedzającego rok budżetowy</t>
  </si>
  <si>
    <t>9</t>
  </si>
  <si>
    <t>Finansowanie programów, projektów lub zadań realizowanych z udziałem środków, o których mowa w art. 5 ust. 1 pkt 2 i 3 ustawy</t>
  </si>
  <si>
    <t>9.1</t>
  </si>
  <si>
    <t>Dochody bieżące na programy, projekty lub zadania finansowe z udziałem środków, o których mowa w art. 5 ust. 1 pkt 2 i 3 ustawy</t>
  </si>
  <si>
    <t>9.1.1</t>
  </si>
  <si>
    <t>Dotacje i środki o charakterze bieżącym na realizację programu, projektu lub zadania finansowanego z udziałem środków, o których mowa w art. 5 ust. 1 pkt 2 ustawy, w tym:</t>
  </si>
  <si>
    <t>9.1.1.1</t>
  </si>
  <si>
    <t>środki określone w art. 5 ust. 1 pkt 2 ustawy</t>
  </si>
  <si>
    <t>9.2</t>
  </si>
  <si>
    <t>Dochody majątkowe na programy, projekty lub zadania finansowe z udziałem środków, o których mowa w art. 5 ust. 1 pkt 2 i 3 ustawy</t>
  </si>
  <si>
    <t>9.2.1</t>
  </si>
  <si>
    <t>Dochody majątkowe na programy, projekty lub zadania finansowe z udziałem środków, o których mowa w art. 5 ust. 1 pkt 2 ustawy, w tym:</t>
  </si>
  <si>
    <t>9.2.1.1</t>
  </si>
  <si>
    <t>9.3</t>
  </si>
  <si>
    <t>Wydatki bieżące na programy, projekty lub zadania finansowe z udziałem środków, o których mowa w art. 5 ust. 1 pkt 2 i 3 ustawy</t>
  </si>
  <si>
    <t>9.3.1</t>
  </si>
  <si>
    <t>Wydatki bieżące na programy, projekty lub zadania finansowe z udziałem środków, o których mowa w art. 5 ust. 1 pkt 2 ustawy, w tym:</t>
  </si>
  <si>
    <t>9.3.1.1</t>
  </si>
  <si>
    <t>finansowane środkami określonymi w art. 5 ust. 1 pkt 2 ustawy</t>
  </si>
  <si>
    <t>9.4</t>
  </si>
  <si>
    <t>Wydatki majątkowe na programy, projekty lub zadania finansowe z udziałem środków, o których mowa w art. 5 ust. 1 pkt 2 i 3 ustawy</t>
  </si>
  <si>
    <t>9.4.1</t>
  </si>
  <si>
    <t>Wydatki majątkowe na programy, projekty lub zadania finansowe z udziałem środków, o których mowa w art. 5 ust. 1 pkt 2 ustawy, w tym:</t>
  </si>
  <si>
    <t>9.4.1.1</t>
  </si>
  <si>
    <t>10</t>
  </si>
  <si>
    <t>Informacje uzupełniające o wybranych kategoriach finansowych</t>
  </si>
  <si>
    <t>10.1</t>
  </si>
  <si>
    <t>Wydatki objęte limitem, o którym mowa w art. 226 ust. 3 pkt 4 ustawy, z 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</si>
  <si>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</si>
  <si>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</si>
  <si>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</si>
  <si>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</si>
  <si>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</si>
  <si>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</si>
  <si>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</si>
  <si>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 związku z likwidacją lub przekształceniem samodzielnego publicznego zakładu opieki zdrowotnej</t>
  </si>
  <si>
    <t>10.4</t>
  </si>
  <si>
    <t>Kwota zobowiązań związku współtworzonego przez jednostkę samorządu terytorialnego przypadających do spłaty w danym roku budżetowym, podlegająca doliczeniu zgodnie z art. 244 ustawy</t>
  </si>
  <si>
    <t>10.5</t>
  </si>
  <si>
    <t>Kwota zobowiązań wynikających z przejęcia przez jednostkę samorządu terytorialnego zobowiązań po likwidowanych i przekształcanych samorządowych osobach prawnych</t>
  </si>
  <si>
    <t>10.6</t>
  </si>
  <si>
    <t>Spłaty, o których mowa w poz. 5.1., wynikające wyłącznie z tytułu zobowiązań już zaciągniętych</t>
  </si>
  <si>
    <t>10.7</t>
  </si>
  <si>
    <t>Wydatki zmniejszające dług, w tym:</t>
  </si>
  <si>
    <t>10.7.1</t>
  </si>
  <si>
    <t>spłata zobowiązań wymagalnych z lat poprzednich, innych niż w poz. 10.7.3</t>
  </si>
  <si>
    <t>10.7.2</t>
  </si>
  <si>
    <t>spłata zobowiązań zaliczanych do tytułu dłużnego – kredyt i pożyczka, w tym:</t>
  </si>
  <si>
    <t>10.7.2.1</t>
  </si>
  <si>
    <t>zobowiązań zaciągniętych po dniu 1 stycznia 2019 r.</t>
  </si>
  <si>
    <t>10.7.2.1.1</t>
  </si>
  <si>
    <t>dokonywana w formie wydatku bieżącego</t>
  </si>
  <si>
    <t>10.7.3</t>
  </si>
  <si>
    <t>wypłaty z tytułu wymagalnych poręczeń i gwarancji</t>
  </si>
  <si>
    <t>10.8</t>
  </si>
  <si>
    <t>Kwota wzrostu(+)/spadku(−) kwoty długu wynikająca z operacji niekasowych (m.in. umorzenia, różnice kursowe)</t>
  </si>
  <si>
    <t>10.9</t>
  </si>
  <si>
    <t>Wcześniejsza spłata zobowiązań, wyłączona z limitu spłaty zobowiązań, dokonywana w formie wydatków budżetowych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</si>
  <si>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</si>
  <si>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</si>
  <si>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</si>
  <si>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</si>
  <si>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11</t>
  </si>
  <si>
    <t>Dane dotyczące emitowanych obligacji przychodowych</t>
  </si>
  <si>
    <t>11.1</t>
  </si>
  <si>
    <t>Środki z przedsięwzięcia gromadzone na rachunku bankowym, w tym:</t>
  </si>
  <si>
    <t>11.1.1</t>
  </si>
  <si>
    <t>środki na zaspokojenie roszczeń obligatariuszy</t>
  </si>
  <si>
    <t>11.2</t>
  </si>
  <si>
    <t>Wydatki bieżące z tytułu świadczenia emitenta należnego obligatariuszom, nieuwzględniane w limicie spłaty zobowiązań</t>
  </si>
  <si>
    <t>13</t>
  </si>
  <si>
    <t>Rozliczenie budżetu</t>
  </si>
  <si>
    <t>13z</t>
  </si>
  <si>
    <t>Zdolność inwestycyjna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</si>
</sst>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ECEAEC"/>
      </patternFill>
    </fill>
    <fill>
      <patternFill patternType="solid">
        <fgColor rgb="FFF4F2FD"/>
      </patternFill>
    </fill>
    <fill>
      <patternFill patternType="solid">
        <fgColor rgb="FFADFF2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/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4" borderId="1" xfId="0" applyNumberFormat="1" applyFont="1" applyFill="1" applyBorder="1" applyAlignment="1">
      <alignment horizontal="right" vertical="center"/>
    </xf>
    <xf numFmtId="10" fontId="1" fillId="3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6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8.109375" customWidth="1"/>
    <col min="2" max="2" width="42.88671875" customWidth="1"/>
    <col min="3" max="10" width="14.33203125" hidden="1" customWidth="1"/>
    <col min="11" max="23" width="14.33203125" customWidth="1"/>
  </cols>
  <sheetData>
    <row r="1" spans="1:2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4.25" customHeight="1" x14ac:dyDescent="0.3">
      <c r="A2" s="2" t="s">
        <v>23</v>
      </c>
      <c r="B2" s="3" t="s">
        <v>24</v>
      </c>
      <c r="C2" s="4">
        <f>IF(ISNUMBER(VLOOKUP("1.1",A2:W105,3,FALSE)),ROUND(VLOOKUP("1.1",A2:W105,3,FALSE),4),0) + IF(ISNUMBER(VLOOKUP("1.2",A2:W105,3,FALSE)),ROUND(VLOOKUP("1.2",A2:W105,3,FALSE),4),0)</f>
        <v>88869879.830000013</v>
      </c>
      <c r="D2" s="4">
        <f>IF(ISNUMBER(VLOOKUP("1.1",A2:W105,4,FALSE)),ROUND(VLOOKUP("1.1",A2:W105,4,FALSE),4),0) + IF(ISNUMBER(VLOOKUP("1.2",A2:W105,4,FALSE)),ROUND(VLOOKUP("1.2",A2:W105,4,FALSE),4),0)</f>
        <v>116119559.15000001</v>
      </c>
      <c r="E2" s="4">
        <f>IF(ISNUMBER(VLOOKUP("1.1",A2:W105,5,FALSE)),ROUND(VLOOKUP("1.1",A2:W105,5,FALSE),4),0) + IF(ISNUMBER(VLOOKUP("1.2",A2:W105,5,FALSE)),ROUND(VLOOKUP("1.2",A2:W105,5,FALSE),4),0)</f>
        <v>128555394.05999999</v>
      </c>
      <c r="F2" s="4">
        <f>IF(ISNUMBER(VLOOKUP("1.1",A2:W105,6,FALSE)),ROUND(VLOOKUP("1.1",A2:W105,6,FALSE),4),0) + IF(ISNUMBER(VLOOKUP("1.2",A2:W105,6,FALSE)),ROUND(VLOOKUP("1.2",A2:W105,6,FALSE),4),0)</f>
        <v>143895550.69</v>
      </c>
      <c r="G2" s="4">
        <f>IF(ISNUMBER(VLOOKUP("1.1",A2:W105,7,FALSE)),ROUND(VLOOKUP("1.1",A2:W105,7,FALSE),4),0) + IF(ISNUMBER(VLOOKUP("1.2",A2:W105,7,FALSE)),ROUND(VLOOKUP("1.2",A2:W105,7,FALSE),4),0)</f>
        <v>167914170.47</v>
      </c>
      <c r="H2" s="4">
        <f>IF(ISNUMBER(VLOOKUP("1.1",A2:W105,8,FALSE)),ROUND(VLOOKUP("1.1",A2:W105,8,FALSE),4),0) + IF(ISNUMBER(VLOOKUP("1.2",A2:W105,8,FALSE)),ROUND(VLOOKUP("1.2",A2:W105,8,FALSE),4),0)</f>
        <v>185647260.84</v>
      </c>
      <c r="I2" s="4">
        <f>IF(ISNUMBER(VLOOKUP("1.1",A2:W105,9,FALSE)),ROUND(VLOOKUP("1.1",A2:W105,9,FALSE),4),0) + IF(ISNUMBER(VLOOKUP("1.2",A2:W105,9,FALSE)),ROUND(VLOOKUP("1.2",A2:W105,9,FALSE),4),0)</f>
        <v>202069093.71000001</v>
      </c>
      <c r="J2" s="4">
        <f>IF(ISNUMBER(VLOOKUP("1.1",A2:W105,10,FALSE)),ROUND(VLOOKUP("1.1",A2:W105,10,FALSE),4),0) + IF(ISNUMBER(VLOOKUP("1.2",A2:W105,10,FALSE)),ROUND(VLOOKUP("1.2",A2:W105,10,FALSE),4),0)</f>
        <v>206092199.53999999</v>
      </c>
      <c r="K2" s="5">
        <f>IF(ISNUMBER(VLOOKUP("1.1",A2:W105,11,FALSE)),ROUND(VLOOKUP("1.1",A2:W105,11,FALSE),4),0) + IF(ISNUMBER(VLOOKUP("1.2",A2:W105,11,FALSE)),ROUND(VLOOKUP("1.2",A2:W105,11,FALSE),4),0)</f>
        <v>179455043.19</v>
      </c>
      <c r="L2" s="5">
        <f>IF(ISNUMBER(VLOOKUP("1.1",A2:W105,12,FALSE)),ROUND(VLOOKUP("1.1",A2:W105,12,FALSE),4),0) + IF(ISNUMBER(VLOOKUP("1.2",A2:W105,12,FALSE)),ROUND(VLOOKUP("1.2",A2:W105,12,FALSE),4),0)</f>
        <v>175407153</v>
      </c>
      <c r="M2" s="5">
        <f>IF(ISNUMBER(VLOOKUP("1.1",A2:W105,13,FALSE)),ROUND(VLOOKUP("1.1",A2:W105,13,FALSE),4),0) + IF(ISNUMBER(VLOOKUP("1.2",A2:W105,13,FALSE)),ROUND(VLOOKUP("1.2",A2:W105,13,FALSE),4),0)</f>
        <v>169916402</v>
      </c>
      <c r="N2" s="5">
        <f>IF(ISNUMBER(VLOOKUP("1.1",A2:W105,14,FALSE)),ROUND(VLOOKUP("1.1",A2:W105,14,FALSE),4),0) + IF(ISNUMBER(VLOOKUP("1.2",A2:W105,14,FALSE)),ROUND(VLOOKUP("1.2",A2:W105,14,FALSE),4),0)</f>
        <v>175618475</v>
      </c>
      <c r="O2" s="5">
        <f>IF(ISNUMBER(VLOOKUP("1.1",A2:W105,15,FALSE)),ROUND(VLOOKUP("1.1",A2:W105,15,FALSE),4),0) + IF(ISNUMBER(VLOOKUP("1.2",A2:W105,15,FALSE)),ROUND(VLOOKUP("1.2",A2:W105,15,FALSE),4),0)</f>
        <v>174520122</v>
      </c>
      <c r="P2" s="5">
        <f>IF(ISNUMBER(VLOOKUP("1.1",A2:W105,16,FALSE)),ROUND(VLOOKUP("1.1",A2:W105,16,FALSE),4),0) + IF(ISNUMBER(VLOOKUP("1.2",A2:W105,16,FALSE)),ROUND(VLOOKUP("1.2",A2:W105,16,FALSE),4),0)</f>
        <v>180453805</v>
      </c>
      <c r="Q2" s="5">
        <f>IF(ISNUMBER(VLOOKUP("1.1",A2:W105,17,FALSE)),ROUND(VLOOKUP("1.1",A2:W105,17,FALSE),4),0) + IF(ISNUMBER(VLOOKUP("1.2",A2:W105,17,FALSE)),ROUND(VLOOKUP("1.2",A2:W105,17,FALSE),4),0)</f>
        <v>186408780</v>
      </c>
      <c r="R2" s="5">
        <f>IF(ISNUMBER(VLOOKUP("1.1",A2:W105,18,FALSE)),ROUND(VLOOKUP("1.1",A2:W105,18,FALSE),4),0) + IF(ISNUMBER(VLOOKUP("1.2",A2:W105,18,FALSE)),ROUND(VLOOKUP("1.2",A2:W105,18,FALSE),4),0)</f>
        <v>192187452</v>
      </c>
      <c r="S2" s="5">
        <f>IF(ISNUMBER(VLOOKUP("1.1",A2:W105,19,FALSE)),ROUND(VLOOKUP("1.1",A2:W105,19,FALSE),4),0) + IF(ISNUMBER(VLOOKUP("1.2",A2:W105,19,FALSE)),ROUND(VLOOKUP("1.2",A2:W105,19,FALSE),4),0)</f>
        <v>197760887</v>
      </c>
      <c r="T2" s="5">
        <f>IF(ISNUMBER(VLOOKUP("1.1",A2:W105,20,FALSE)),ROUND(VLOOKUP("1.1",A2:W105,20,FALSE),4),0) + IF(ISNUMBER(VLOOKUP("1.2",A2:W105,20,FALSE)),ROUND(VLOOKUP("1.2",A2:W105,20,FALSE),4),0)</f>
        <v>203298191</v>
      </c>
      <c r="U2" s="5">
        <f>IF(ISNUMBER(VLOOKUP("1.1",A2:W105,21,FALSE)),ROUND(VLOOKUP("1.1",A2:W105,21,FALSE),4),0) + IF(ISNUMBER(VLOOKUP("1.2",A2:W105,21,FALSE)),ROUND(VLOOKUP("1.2",A2:W105,21,FALSE),4),0)</f>
        <v>208787242</v>
      </c>
      <c r="V2" s="5">
        <f>IF(ISNUMBER(VLOOKUP("1.1",A2:W105,22,FALSE)),ROUND(VLOOKUP("1.1",A2:W105,22,FALSE),4),0) + IF(ISNUMBER(VLOOKUP("1.2",A2:W105,22,FALSE)),ROUND(VLOOKUP("1.2",A2:W105,22,FALSE),4),0)</f>
        <v>214215710</v>
      </c>
      <c r="W2" s="5">
        <f>IF(ISNUMBER(VLOOKUP("1.1",A2:W105,23,FALSE)),ROUND(VLOOKUP("1.1",A2:W105,23,FALSE),4),0) + IF(ISNUMBER(VLOOKUP("1.2",A2:W105,23,FALSE)),ROUND(VLOOKUP("1.2",A2:W105,23,FALSE),4),0)</f>
        <v>219571103</v>
      </c>
    </row>
    <row r="3" spans="1:23" ht="14.25" customHeight="1" x14ac:dyDescent="0.3">
      <c r="A3" s="2" t="s">
        <v>25</v>
      </c>
      <c r="B3" s="3" t="s">
        <v>26</v>
      </c>
      <c r="C3" s="4">
        <f>IF(ISNUMBER(VLOOKUP("1.1.1",A2:W105,3,FALSE)),ROUND(VLOOKUP("1.1.1",A2:W105,3,FALSE),4),0) + IF(ISNUMBER(VLOOKUP("1.1.2",A2:W105,3,FALSE)),ROUND(VLOOKUP("1.1.2",A2:W105,3,FALSE),4),0) + IF(ISNUMBER(VLOOKUP("1.1.3",A2:W105,3,FALSE)),ROUND(VLOOKUP("1.1.3",A2:W105,3,FALSE),4),0) + IF(ISNUMBER(VLOOKUP("1.1.4",A2:W105,3,FALSE)),ROUND(VLOOKUP("1.1.4",A2:W105,3,FALSE),4),0) + IF(ISNUMBER(VLOOKUP("1.1.5",A2:W105,3,FALSE)),ROUND(VLOOKUP("1.1.5",A2:W105,3,FALSE),4),0) + IF(ISNA(VLOOKUP("1.1.x",A2:W105,3,FALSE)),0,ROUND(VLOOKUP("1.1.x",A2:W105,3,FALSE),4))</f>
        <v>83642216.75999999</v>
      </c>
      <c r="D3" s="4">
        <f>IF(ISNUMBER(VLOOKUP("1.1.1",A2:W105,4,FALSE)),ROUND(VLOOKUP("1.1.1",A2:W105,4,FALSE),4),0) + IF(ISNUMBER(VLOOKUP("1.1.2",A2:W105,4,FALSE)),ROUND(VLOOKUP("1.1.2",A2:W105,4,FALSE),4),0) + IF(ISNUMBER(VLOOKUP("1.1.3",A2:W105,4,FALSE)),ROUND(VLOOKUP("1.1.3",A2:W105,4,FALSE),4),0) + IF(ISNUMBER(VLOOKUP("1.1.4",A2:W105,4,FALSE)),ROUND(VLOOKUP("1.1.4",A2:W105,4,FALSE),4),0) + IF(ISNUMBER(VLOOKUP("1.1.5",A2:W105,4,FALSE)),ROUND(VLOOKUP("1.1.5",A2:W105,4,FALSE),4),0) + IF(ISNA(VLOOKUP("1.1.x",A2:W105,4,FALSE)),0,ROUND(VLOOKUP("1.1.x",A2:W105,4,FALSE),4))</f>
        <v>108319767.97999999</v>
      </c>
      <c r="E3" s="4">
        <f>IF(ISNUMBER(VLOOKUP("1.1.1",A2:W105,5,FALSE)),ROUND(VLOOKUP("1.1.1",A2:W105,5,FALSE),4),0) + IF(ISNUMBER(VLOOKUP("1.1.2",A2:W105,5,FALSE)),ROUND(VLOOKUP("1.1.2",A2:W105,5,FALSE),4),0) + IF(ISNUMBER(VLOOKUP("1.1.3",A2:W105,5,FALSE)),ROUND(VLOOKUP("1.1.3",A2:W105,5,FALSE),4),0) + IF(ISNUMBER(VLOOKUP("1.1.4",A2:W105,5,FALSE)),ROUND(VLOOKUP("1.1.4",A2:W105,5,FALSE),4),0) + IF(ISNUMBER(VLOOKUP("1.1.5",A2:W105,5,FALSE)),ROUND(VLOOKUP("1.1.5",A2:W105,5,FALSE),4),0) + IF(ISNA(VLOOKUP("1.1.x",A2:W105,5,FALSE)),0,ROUND(VLOOKUP("1.1.x",A2:W105,5,FALSE),4))</f>
        <v>122044929.84999999</v>
      </c>
      <c r="F3" s="4">
        <f>IF(ISNUMBER(VLOOKUP("1.1.1",A2:W105,6,FALSE)),ROUND(VLOOKUP("1.1.1",A2:W105,6,FALSE),4),0) + IF(ISNUMBER(VLOOKUP("1.1.2",A2:W105,6,FALSE)),ROUND(VLOOKUP("1.1.2",A2:W105,6,FALSE),4),0) + IF(ISNUMBER(VLOOKUP("1.1.3",A2:W105,6,FALSE)),ROUND(VLOOKUP("1.1.3",A2:W105,6,FALSE),4),0) + IF(ISNUMBER(VLOOKUP("1.1.4",A2:W105,6,FALSE)),ROUND(VLOOKUP("1.1.4",A2:W105,6,FALSE),4),0) + IF(ISNUMBER(VLOOKUP("1.1.5",A2:W105,6,FALSE)),ROUND(VLOOKUP("1.1.5",A2:W105,6,FALSE),4),0) + IF(ISNA(VLOOKUP("1.1.x",A2:W105,6,FALSE)),0,ROUND(VLOOKUP("1.1.x",A2:W105,6,FALSE),4))</f>
        <v>133804053.72</v>
      </c>
      <c r="G3" s="4">
        <f>IF(ISNUMBER(VLOOKUP("1.1.1",A2:W105,7,FALSE)),ROUND(VLOOKUP("1.1.1",A2:W105,7,FALSE),4),0) + IF(ISNUMBER(VLOOKUP("1.1.2",A2:W105,7,FALSE)),ROUND(VLOOKUP("1.1.2",A2:W105,7,FALSE),4),0) + IF(ISNUMBER(VLOOKUP("1.1.3",A2:W105,7,FALSE)),ROUND(VLOOKUP("1.1.3",A2:W105,7,FALSE),4),0) + IF(ISNUMBER(VLOOKUP("1.1.4",A2:W105,7,FALSE)),ROUND(VLOOKUP("1.1.4",A2:W105,7,FALSE),4),0) + IF(ISNUMBER(VLOOKUP("1.1.5",A2:W105,7,FALSE)),ROUND(VLOOKUP("1.1.5",A2:W105,7,FALSE),4),0) + IF(ISNA(VLOOKUP("1.1.x",A2:W105,7,FALSE)),0,ROUND(VLOOKUP("1.1.x",A2:W105,7,FALSE),4))</f>
        <v>155461714.45999998</v>
      </c>
      <c r="H3" s="4">
        <f>IF(ISNUMBER(VLOOKUP("1.1.1",A2:W105,8,FALSE)),ROUND(VLOOKUP("1.1.1",A2:W105,8,FALSE),4),0) + IF(ISNUMBER(VLOOKUP("1.1.2",A2:W105,8,FALSE)),ROUND(VLOOKUP("1.1.2",A2:W105,8,FALSE),4),0) + IF(ISNUMBER(VLOOKUP("1.1.3",A2:W105,8,FALSE)),ROUND(VLOOKUP("1.1.3",A2:W105,8,FALSE),4),0) + IF(ISNUMBER(VLOOKUP("1.1.4",A2:W105,8,FALSE)),ROUND(VLOOKUP("1.1.4",A2:W105,8,FALSE),4),0) + IF(ISNUMBER(VLOOKUP("1.1.5",A2:W105,8,FALSE)),ROUND(VLOOKUP("1.1.5",A2:W105,8,FALSE),4),0) + IF(ISNA(VLOOKUP("1.1.x",A2:W105,8,FALSE)),0,ROUND(VLOOKUP("1.1.x",A2:W105,8,FALSE),4))</f>
        <v>171350429.31</v>
      </c>
      <c r="I3" s="4">
        <f>IF(ISNUMBER(VLOOKUP("1.1.1",A2:W105,9,FALSE)),ROUND(VLOOKUP("1.1.1",A2:W105,9,FALSE),4),0) + IF(ISNUMBER(VLOOKUP("1.1.2",A2:W105,9,FALSE)),ROUND(VLOOKUP("1.1.2",A2:W105,9,FALSE),4),0) + IF(ISNUMBER(VLOOKUP("1.1.3",A2:W105,9,FALSE)),ROUND(VLOOKUP("1.1.3",A2:W105,9,FALSE),4),0) + IF(ISNUMBER(VLOOKUP("1.1.4",A2:W105,9,FALSE)),ROUND(VLOOKUP("1.1.4",A2:W105,9,FALSE),4),0) + IF(ISNUMBER(VLOOKUP("1.1.5",A2:W105,9,FALSE)),ROUND(VLOOKUP("1.1.5",A2:W105,9,FALSE),4),0) + IF(ISNA(VLOOKUP("1.1.x",A2:W105,9,FALSE)),0,ROUND(VLOOKUP("1.1.x",A2:W105,9,FALSE),4))</f>
        <v>176640900.31</v>
      </c>
      <c r="J3" s="4">
        <f>IF(ISNUMBER(VLOOKUP("1.1.1",A2:W105,10,FALSE)),ROUND(VLOOKUP("1.1.1",A2:W105,10,FALSE),4),0) + IF(ISNUMBER(VLOOKUP("1.1.2",A2:W105,10,FALSE)),ROUND(VLOOKUP("1.1.2",A2:W105,10,FALSE),4),0) + IF(ISNUMBER(VLOOKUP("1.1.3",A2:W105,10,FALSE)),ROUND(VLOOKUP("1.1.3",A2:W105,10,FALSE),4),0) + IF(ISNUMBER(VLOOKUP("1.1.4",A2:W105,10,FALSE)),ROUND(VLOOKUP("1.1.4",A2:W105,10,FALSE),4),0) + IF(ISNUMBER(VLOOKUP("1.1.5",A2:W105,10,FALSE)),ROUND(VLOOKUP("1.1.5",A2:W105,10,FALSE),4),0) + IF(ISNA(VLOOKUP("1.1.x",A2:W105,10,FALSE)),0,ROUND(VLOOKUP("1.1.x",A2:W105,10,FALSE),4))</f>
        <v>186510790.66999999</v>
      </c>
      <c r="K3" s="5">
        <f>IF(ISNUMBER(VLOOKUP("1.1.1",A2:W105,11,FALSE)),ROUND(VLOOKUP("1.1.1",A2:W105,11,FALSE),4),0) + IF(ISNUMBER(VLOOKUP("1.1.2",A2:W105,11,FALSE)),ROUND(VLOOKUP("1.1.2",A2:W105,11,FALSE),4),0) + IF(ISNUMBER(VLOOKUP("1.1.3",A2:W105,11,FALSE)),ROUND(VLOOKUP("1.1.3",A2:W105,11,FALSE),4),0) + IF(ISNUMBER(VLOOKUP("1.1.4",A2:W105,11,FALSE)),ROUND(VLOOKUP("1.1.4",A2:W105,11,FALSE),4),0) + IF(ISNUMBER(VLOOKUP("1.1.5",A2:W105,11,FALSE)),ROUND(VLOOKUP("1.1.5",A2:W105,11,FALSE),4),0) + IF(ISNA(VLOOKUP("1.1.x",A2:W105,11,FALSE)),0,ROUND(VLOOKUP("1.1.x",A2:W105,11,FALSE),4))</f>
        <v>151790889.25</v>
      </c>
      <c r="L3" s="5">
        <f>IF(ISNUMBER(VLOOKUP("1.1.1",A2:W105,12,FALSE)),ROUND(VLOOKUP("1.1.1",A2:W105,12,FALSE),4),0) + IF(ISNUMBER(VLOOKUP("1.1.2",A2:W105,12,FALSE)),ROUND(VLOOKUP("1.1.2",A2:W105,12,FALSE),4),0) + IF(ISNUMBER(VLOOKUP("1.1.3",A2:W105,12,FALSE)),ROUND(VLOOKUP("1.1.3",A2:W105,12,FALSE),4),0) + IF(ISNUMBER(VLOOKUP("1.1.4",A2:W105,12,FALSE)),ROUND(VLOOKUP("1.1.4",A2:W105,12,FALSE),4),0) + IF(ISNUMBER(VLOOKUP("1.1.5",A2:W105,12,FALSE)),ROUND(VLOOKUP("1.1.5",A2:W105,12,FALSE),4),0) + IF(ISNA(VLOOKUP("1.1.x",A2:W105,12,FALSE)),0,ROUND(VLOOKUP("1.1.x",A2:W105,12,FALSE),4))</f>
        <v>157407153</v>
      </c>
      <c r="M3" s="5">
        <f>IF(ISNUMBER(VLOOKUP("1.1.1",A2:W105,13,FALSE)),ROUND(VLOOKUP("1.1.1",A2:W105,13,FALSE),4),0) + IF(ISNUMBER(VLOOKUP("1.1.2",A2:W105,13,FALSE)),ROUND(VLOOKUP("1.1.2",A2:W105,13,FALSE),4),0) + IF(ISNUMBER(VLOOKUP("1.1.3",A2:W105,13,FALSE)),ROUND(VLOOKUP("1.1.3",A2:W105,13,FALSE),4),0) + IF(ISNUMBER(VLOOKUP("1.1.4",A2:W105,13,FALSE)),ROUND(VLOOKUP("1.1.4",A2:W105,13,FALSE),4),0) + IF(ISNUMBER(VLOOKUP("1.1.5",A2:W105,13,FALSE)),ROUND(VLOOKUP("1.1.5",A2:W105,13,FALSE),4),0) + IF(ISNA(VLOOKUP("1.1.x",A2:W105,13,FALSE)),0,ROUND(VLOOKUP("1.1.x",A2:W105,13,FALSE),4))</f>
        <v>162916402</v>
      </c>
      <c r="N3" s="5">
        <f>IF(ISNUMBER(VLOOKUP("1.1.1",A2:W105,14,FALSE)),ROUND(VLOOKUP("1.1.1",A2:W105,14,FALSE),4),0) + IF(ISNUMBER(VLOOKUP("1.1.2",A2:W105,14,FALSE)),ROUND(VLOOKUP("1.1.2",A2:W105,14,FALSE),4),0) + IF(ISNUMBER(VLOOKUP("1.1.3",A2:W105,14,FALSE)),ROUND(VLOOKUP("1.1.3",A2:W105,14,FALSE),4),0) + IF(ISNUMBER(VLOOKUP("1.1.4",A2:W105,14,FALSE)),ROUND(VLOOKUP("1.1.4",A2:W105,14,FALSE),4),0) + IF(ISNUMBER(VLOOKUP("1.1.5",A2:W105,14,FALSE)),ROUND(VLOOKUP("1.1.5",A2:W105,14,FALSE),4),0) + IF(ISNA(VLOOKUP("1.1.x",A2:W105,14,FALSE)),0,ROUND(VLOOKUP("1.1.x",A2:W105,14,FALSE),4))</f>
        <v>168618475</v>
      </c>
      <c r="O3" s="5">
        <f>IF(ISNUMBER(VLOOKUP("1.1.1",A2:W105,15,FALSE)),ROUND(VLOOKUP("1.1.1",A2:W105,15,FALSE),4),0) + IF(ISNUMBER(VLOOKUP("1.1.2",A2:W105,15,FALSE)),ROUND(VLOOKUP("1.1.2",A2:W105,15,FALSE),4),0) + IF(ISNUMBER(VLOOKUP("1.1.3",A2:W105,15,FALSE)),ROUND(VLOOKUP("1.1.3",A2:W105,15,FALSE),4),0) + IF(ISNUMBER(VLOOKUP("1.1.4",A2:W105,15,FALSE)),ROUND(VLOOKUP("1.1.4",A2:W105,15,FALSE),4),0) + IF(ISNUMBER(VLOOKUP("1.1.5",A2:W105,15,FALSE)),ROUND(VLOOKUP("1.1.5",A2:W105,15,FALSE),4),0) + IF(ISNA(VLOOKUP("1.1.x",A2:W105,15,FALSE)),0,ROUND(VLOOKUP("1.1.x",A2:W105,15,FALSE),4))</f>
        <v>174520122</v>
      </c>
      <c r="P3" s="5">
        <f>IF(ISNUMBER(VLOOKUP("1.1.1",A2:W105,16,FALSE)),ROUND(VLOOKUP("1.1.1",A2:W105,16,FALSE),4),0) + IF(ISNUMBER(VLOOKUP("1.1.2",A2:W105,16,FALSE)),ROUND(VLOOKUP("1.1.2",A2:W105,16,FALSE),4),0) + IF(ISNUMBER(VLOOKUP("1.1.3",A2:W105,16,FALSE)),ROUND(VLOOKUP("1.1.3",A2:W105,16,FALSE),4),0) + IF(ISNUMBER(VLOOKUP("1.1.4",A2:W105,16,FALSE)),ROUND(VLOOKUP("1.1.4",A2:W105,16,FALSE),4),0) + IF(ISNUMBER(VLOOKUP("1.1.5",A2:W105,16,FALSE)),ROUND(VLOOKUP("1.1.5",A2:W105,16,FALSE),4),0) + IF(ISNA(VLOOKUP("1.1.x",A2:W105,16,FALSE)),0,ROUND(VLOOKUP("1.1.x",A2:W105,16,FALSE),4))</f>
        <v>180453805</v>
      </c>
      <c r="Q3" s="5">
        <f>IF(ISNUMBER(VLOOKUP("1.1.1",A2:W105,17,FALSE)),ROUND(VLOOKUP("1.1.1",A2:W105,17,FALSE),4),0) + IF(ISNUMBER(VLOOKUP("1.1.2",A2:W105,17,FALSE)),ROUND(VLOOKUP("1.1.2",A2:W105,17,FALSE),4),0) + IF(ISNUMBER(VLOOKUP("1.1.3",A2:W105,17,FALSE)),ROUND(VLOOKUP("1.1.3",A2:W105,17,FALSE),4),0) + IF(ISNUMBER(VLOOKUP("1.1.4",A2:W105,17,FALSE)),ROUND(VLOOKUP("1.1.4",A2:W105,17,FALSE),4),0) + IF(ISNUMBER(VLOOKUP("1.1.5",A2:W105,17,FALSE)),ROUND(VLOOKUP("1.1.5",A2:W105,17,FALSE),4),0) + IF(ISNA(VLOOKUP("1.1.x",A2:W105,17,FALSE)),0,ROUND(VLOOKUP("1.1.x",A2:W105,17,FALSE),4))</f>
        <v>186408780</v>
      </c>
      <c r="R3" s="5">
        <f>IF(ISNUMBER(VLOOKUP("1.1.1",A2:W105,18,FALSE)),ROUND(VLOOKUP("1.1.1",A2:W105,18,FALSE),4),0) + IF(ISNUMBER(VLOOKUP("1.1.2",A2:W105,18,FALSE)),ROUND(VLOOKUP("1.1.2",A2:W105,18,FALSE),4),0) + IF(ISNUMBER(VLOOKUP("1.1.3",A2:W105,18,FALSE)),ROUND(VLOOKUP("1.1.3",A2:W105,18,FALSE),4),0) + IF(ISNUMBER(VLOOKUP("1.1.4",A2:W105,18,FALSE)),ROUND(VLOOKUP("1.1.4",A2:W105,18,FALSE),4),0) + IF(ISNUMBER(VLOOKUP("1.1.5",A2:W105,18,FALSE)),ROUND(VLOOKUP("1.1.5",A2:W105,18,FALSE),4),0) + IF(ISNA(VLOOKUP("1.1.x",A2:W105,18,FALSE)),0,ROUND(VLOOKUP("1.1.x",A2:W105,18,FALSE),4))</f>
        <v>192187452</v>
      </c>
      <c r="S3" s="5">
        <f>IF(ISNUMBER(VLOOKUP("1.1.1",A2:W105,19,FALSE)),ROUND(VLOOKUP("1.1.1",A2:W105,19,FALSE),4),0) + IF(ISNUMBER(VLOOKUP("1.1.2",A2:W105,19,FALSE)),ROUND(VLOOKUP("1.1.2",A2:W105,19,FALSE),4),0) + IF(ISNUMBER(VLOOKUP("1.1.3",A2:W105,19,FALSE)),ROUND(VLOOKUP("1.1.3",A2:W105,19,FALSE),4),0) + IF(ISNUMBER(VLOOKUP("1.1.4",A2:W105,19,FALSE)),ROUND(VLOOKUP("1.1.4",A2:W105,19,FALSE),4),0) + IF(ISNUMBER(VLOOKUP("1.1.5",A2:W105,19,FALSE)),ROUND(VLOOKUP("1.1.5",A2:W105,19,FALSE),4),0) + IF(ISNA(VLOOKUP("1.1.x",A2:W105,19,FALSE)),0,ROUND(VLOOKUP("1.1.x",A2:W105,19,FALSE),4))</f>
        <v>197760887</v>
      </c>
      <c r="T3" s="5">
        <f>IF(ISNUMBER(VLOOKUP("1.1.1",A2:W105,20,FALSE)),ROUND(VLOOKUP("1.1.1",A2:W105,20,FALSE),4),0) + IF(ISNUMBER(VLOOKUP("1.1.2",A2:W105,20,FALSE)),ROUND(VLOOKUP("1.1.2",A2:W105,20,FALSE),4),0) + IF(ISNUMBER(VLOOKUP("1.1.3",A2:W105,20,FALSE)),ROUND(VLOOKUP("1.1.3",A2:W105,20,FALSE),4),0) + IF(ISNUMBER(VLOOKUP("1.1.4",A2:W105,20,FALSE)),ROUND(VLOOKUP("1.1.4",A2:W105,20,FALSE),4),0) + IF(ISNUMBER(VLOOKUP("1.1.5",A2:W105,20,FALSE)),ROUND(VLOOKUP("1.1.5",A2:W105,20,FALSE),4),0) + IF(ISNA(VLOOKUP("1.1.x",A2:W105,20,FALSE)),0,ROUND(VLOOKUP("1.1.x",A2:W105,20,FALSE),4))</f>
        <v>203298191</v>
      </c>
      <c r="U3" s="5">
        <f>IF(ISNUMBER(VLOOKUP("1.1.1",A2:W105,21,FALSE)),ROUND(VLOOKUP("1.1.1",A2:W105,21,FALSE),4),0) + IF(ISNUMBER(VLOOKUP("1.1.2",A2:W105,21,FALSE)),ROUND(VLOOKUP("1.1.2",A2:W105,21,FALSE),4),0) + IF(ISNUMBER(VLOOKUP("1.1.3",A2:W105,21,FALSE)),ROUND(VLOOKUP("1.1.3",A2:W105,21,FALSE),4),0) + IF(ISNUMBER(VLOOKUP("1.1.4",A2:W105,21,FALSE)),ROUND(VLOOKUP("1.1.4",A2:W105,21,FALSE),4),0) + IF(ISNUMBER(VLOOKUP("1.1.5",A2:W105,21,FALSE)),ROUND(VLOOKUP("1.1.5",A2:W105,21,FALSE),4),0) + IF(ISNA(VLOOKUP("1.1.x",A2:W105,21,FALSE)),0,ROUND(VLOOKUP("1.1.x",A2:W105,21,FALSE),4))</f>
        <v>208787242</v>
      </c>
      <c r="V3" s="5">
        <f>IF(ISNUMBER(VLOOKUP("1.1.1",A2:W105,22,FALSE)),ROUND(VLOOKUP("1.1.1",A2:W105,22,FALSE),4),0) + IF(ISNUMBER(VLOOKUP("1.1.2",A2:W105,22,FALSE)),ROUND(VLOOKUP("1.1.2",A2:W105,22,FALSE),4),0) + IF(ISNUMBER(VLOOKUP("1.1.3",A2:W105,22,FALSE)),ROUND(VLOOKUP("1.1.3",A2:W105,22,FALSE),4),0) + IF(ISNUMBER(VLOOKUP("1.1.4",A2:W105,22,FALSE)),ROUND(VLOOKUP("1.1.4",A2:W105,22,FALSE),4),0) + IF(ISNUMBER(VLOOKUP("1.1.5",A2:W105,22,FALSE)),ROUND(VLOOKUP("1.1.5",A2:W105,22,FALSE),4),0) + IF(ISNA(VLOOKUP("1.1.x",A2:W105,22,FALSE)),0,ROUND(VLOOKUP("1.1.x",A2:W105,22,FALSE),4))</f>
        <v>214215710</v>
      </c>
      <c r="W3" s="5">
        <f>IF(ISNUMBER(VLOOKUP("1.1.1",A2:W105,23,FALSE)),ROUND(VLOOKUP("1.1.1",A2:W105,23,FALSE),4),0) + IF(ISNUMBER(VLOOKUP("1.1.2",A2:W105,23,FALSE)),ROUND(VLOOKUP("1.1.2",A2:W105,23,FALSE),4),0) + IF(ISNUMBER(VLOOKUP("1.1.3",A2:W105,23,FALSE)),ROUND(VLOOKUP("1.1.3",A2:W105,23,FALSE),4),0) + IF(ISNUMBER(VLOOKUP("1.1.4",A2:W105,23,FALSE)),ROUND(VLOOKUP("1.1.4",A2:W105,23,FALSE),4),0) + IF(ISNUMBER(VLOOKUP("1.1.5",A2:W105,23,FALSE)),ROUND(VLOOKUP("1.1.5",A2:W105,23,FALSE),4),0) + IF(ISNA(VLOOKUP("1.1.x",A2:W105,23,FALSE)),0,ROUND(VLOOKUP("1.1.x",A2:W105,23,FALSE),4))</f>
        <v>219571103</v>
      </c>
    </row>
    <row r="4" spans="1:23" ht="27" customHeight="1" x14ac:dyDescent="0.3">
      <c r="A4" s="6" t="s">
        <v>27</v>
      </c>
      <c r="B4" s="7" t="s">
        <v>28</v>
      </c>
      <c r="C4" s="8">
        <v>26984526</v>
      </c>
      <c r="D4" s="8">
        <v>30482443</v>
      </c>
      <c r="E4" s="8">
        <v>32455861</v>
      </c>
      <c r="F4" s="8">
        <v>39140042</v>
      </c>
      <c r="G4" s="8">
        <v>44359948</v>
      </c>
      <c r="H4" s="8">
        <v>44724973</v>
      </c>
      <c r="I4" s="8">
        <v>47443625</v>
      </c>
      <c r="J4" s="8">
        <v>47443625</v>
      </c>
      <c r="K4" s="9">
        <v>44935370</v>
      </c>
      <c r="L4" s="9">
        <v>46597979</v>
      </c>
      <c r="M4" s="9">
        <v>48228908</v>
      </c>
      <c r="N4" s="9">
        <v>49916920</v>
      </c>
      <c r="O4" s="9">
        <v>51664012</v>
      </c>
      <c r="P4" s="9">
        <v>53420588</v>
      </c>
      <c r="Q4" s="9">
        <v>55183467</v>
      </c>
      <c r="R4" s="9">
        <v>56894154</v>
      </c>
      <c r="S4" s="9">
        <v>58544084</v>
      </c>
      <c r="T4" s="9">
        <v>60183318</v>
      </c>
      <c r="U4" s="9">
        <v>61808268</v>
      </c>
      <c r="V4" s="9">
        <v>63415283</v>
      </c>
      <c r="W4" s="9">
        <v>65000665</v>
      </c>
    </row>
    <row r="5" spans="1:23" ht="27" customHeight="1" x14ac:dyDescent="0.3">
      <c r="A5" s="6" t="s">
        <v>29</v>
      </c>
      <c r="B5" s="7" t="s">
        <v>30</v>
      </c>
      <c r="C5" s="8">
        <v>717253.93</v>
      </c>
      <c r="D5" s="8">
        <v>696806.79</v>
      </c>
      <c r="E5" s="8">
        <v>649639.99</v>
      </c>
      <c r="F5" s="8">
        <v>816117.63</v>
      </c>
      <c r="G5" s="8">
        <v>902715.55</v>
      </c>
      <c r="H5" s="8">
        <v>1046514.37</v>
      </c>
      <c r="I5" s="8">
        <v>1072000</v>
      </c>
      <c r="J5" s="8">
        <v>1072000</v>
      </c>
      <c r="K5" s="9">
        <v>1327592</v>
      </c>
      <c r="L5" s="9">
        <v>1376713</v>
      </c>
      <c r="M5" s="9">
        <v>1424898</v>
      </c>
      <c r="N5" s="9">
        <v>1474769</v>
      </c>
      <c r="O5" s="9">
        <v>1526386</v>
      </c>
      <c r="P5" s="9">
        <v>1578283</v>
      </c>
      <c r="Q5" s="9">
        <v>1630366</v>
      </c>
      <c r="R5" s="9">
        <v>1680907</v>
      </c>
      <c r="S5" s="9">
        <v>1729653</v>
      </c>
      <c r="T5" s="9">
        <v>1778083</v>
      </c>
      <c r="U5" s="9">
        <v>1826091</v>
      </c>
      <c r="V5" s="9">
        <v>1873569</v>
      </c>
      <c r="W5" s="9">
        <v>1920408</v>
      </c>
    </row>
    <row r="6" spans="1:23" ht="14.25" customHeight="1" x14ac:dyDescent="0.3">
      <c r="A6" s="6" t="s">
        <v>31</v>
      </c>
      <c r="B6" s="7" t="s">
        <v>32</v>
      </c>
      <c r="C6" s="8">
        <v>18886564</v>
      </c>
      <c r="D6" s="8">
        <v>20459579</v>
      </c>
      <c r="E6" s="8">
        <v>21248428</v>
      </c>
      <c r="F6" s="8">
        <v>22683154</v>
      </c>
      <c r="G6" s="8">
        <v>25891660</v>
      </c>
      <c r="H6" s="8">
        <v>26737872</v>
      </c>
      <c r="I6" s="8">
        <v>28614292</v>
      </c>
      <c r="J6" s="8">
        <v>35915368</v>
      </c>
      <c r="K6" s="9">
        <v>31887077</v>
      </c>
      <c r="L6" s="9">
        <v>33066899</v>
      </c>
      <c r="M6" s="9">
        <v>34224240</v>
      </c>
      <c r="N6" s="9">
        <v>35422088</v>
      </c>
      <c r="O6" s="9">
        <v>36661861</v>
      </c>
      <c r="P6" s="9">
        <v>37908364</v>
      </c>
      <c r="Q6" s="9">
        <v>39159340</v>
      </c>
      <c r="R6" s="9">
        <v>40373280</v>
      </c>
      <c r="S6" s="9">
        <v>41544105</v>
      </c>
      <c r="T6" s="9">
        <v>42707340</v>
      </c>
      <c r="U6" s="9">
        <v>43860438</v>
      </c>
      <c r="V6" s="9">
        <v>45000809</v>
      </c>
      <c r="W6" s="9">
        <v>46125829</v>
      </c>
    </row>
    <row r="7" spans="1:23" ht="14.25" customHeight="1" x14ac:dyDescent="0.3">
      <c r="A7" s="6" t="s">
        <v>33</v>
      </c>
      <c r="B7" s="7" t="s">
        <v>34</v>
      </c>
      <c r="C7" s="8">
        <v>11513086.4</v>
      </c>
      <c r="D7" s="8">
        <v>29105248.309999999</v>
      </c>
      <c r="E7" s="8">
        <v>35431652.899999999</v>
      </c>
      <c r="F7" s="8">
        <v>36791580.729999997</v>
      </c>
      <c r="G7" s="8">
        <v>48175328.770000003</v>
      </c>
      <c r="H7" s="8">
        <v>59861680.149999999</v>
      </c>
      <c r="I7" s="8">
        <v>55142391.259999998</v>
      </c>
      <c r="J7" s="8">
        <v>57526180.130000003</v>
      </c>
      <c r="K7" s="9">
        <v>25287349.18</v>
      </c>
      <c r="L7" s="9">
        <v>26222981</v>
      </c>
      <c r="M7" s="9">
        <v>27140785</v>
      </c>
      <c r="N7" s="9">
        <v>28090712</v>
      </c>
      <c r="O7" s="9">
        <v>29073887</v>
      </c>
      <c r="P7" s="9">
        <v>30062399</v>
      </c>
      <c r="Q7" s="9">
        <v>31054458</v>
      </c>
      <c r="R7" s="9">
        <v>32017146</v>
      </c>
      <c r="S7" s="9">
        <v>32945643</v>
      </c>
      <c r="T7" s="9">
        <v>33868121</v>
      </c>
      <c r="U7" s="9">
        <v>34782560</v>
      </c>
      <c r="V7" s="9">
        <v>35686907</v>
      </c>
      <c r="W7" s="9">
        <v>36579080</v>
      </c>
    </row>
    <row r="8" spans="1:23" ht="14.25" customHeight="1" x14ac:dyDescent="0.3">
      <c r="A8" s="6" t="s">
        <v>35</v>
      </c>
      <c r="B8" s="7" t="s">
        <v>36</v>
      </c>
      <c r="C8" s="8">
        <v>25540786.43</v>
      </c>
      <c r="D8" s="8">
        <v>27575690.879999999</v>
      </c>
      <c r="E8" s="8">
        <v>32259347.960000001</v>
      </c>
      <c r="F8" s="8">
        <v>34373159.359999999</v>
      </c>
      <c r="G8" s="8">
        <v>36132062.140000001</v>
      </c>
      <c r="H8" s="8">
        <v>38979389.789999999</v>
      </c>
      <c r="I8" s="8">
        <v>44368592.049999997</v>
      </c>
      <c r="J8" s="8">
        <v>44553617.539999999</v>
      </c>
      <c r="K8" s="9">
        <v>48353501.07</v>
      </c>
      <c r="L8" s="9">
        <v>50142581</v>
      </c>
      <c r="M8" s="9">
        <v>51897571</v>
      </c>
      <c r="N8" s="9">
        <v>53713986</v>
      </c>
      <c r="O8" s="9">
        <v>55593976</v>
      </c>
      <c r="P8" s="9">
        <v>57484171</v>
      </c>
      <c r="Q8" s="9">
        <v>59381149</v>
      </c>
      <c r="R8" s="9">
        <v>61221965</v>
      </c>
      <c r="S8" s="9">
        <v>62997402</v>
      </c>
      <c r="T8" s="9">
        <v>64761329</v>
      </c>
      <c r="U8" s="9">
        <v>66509885</v>
      </c>
      <c r="V8" s="9">
        <v>68239142</v>
      </c>
      <c r="W8" s="9">
        <v>69945121</v>
      </c>
    </row>
    <row r="9" spans="1:23" ht="14.25" customHeight="1" x14ac:dyDescent="0.3">
      <c r="A9" s="6" t="s">
        <v>37</v>
      </c>
      <c r="B9" s="7" t="s">
        <v>38</v>
      </c>
      <c r="C9" s="8">
        <v>18523078.559999999</v>
      </c>
      <c r="D9" s="8">
        <v>20189506.93</v>
      </c>
      <c r="E9" s="8">
        <v>21165245.460000001</v>
      </c>
      <c r="F9" s="8">
        <v>21773730.530000001</v>
      </c>
      <c r="G9" s="8">
        <v>22097851.949999999</v>
      </c>
      <c r="H9" s="8">
        <v>22270010.07</v>
      </c>
      <c r="I9" s="8">
        <v>25209650</v>
      </c>
      <c r="J9" s="8">
        <v>25209650</v>
      </c>
      <c r="K9" s="9">
        <v>26217800</v>
      </c>
      <c r="L9" s="9">
        <v>27187859</v>
      </c>
      <c r="M9" s="9">
        <v>28139434</v>
      </c>
      <c r="N9" s="9">
        <v>29124314</v>
      </c>
      <c r="O9" s="9">
        <v>30143665</v>
      </c>
      <c r="P9" s="9">
        <v>31168550</v>
      </c>
      <c r="Q9" s="9">
        <v>32197112</v>
      </c>
      <c r="R9" s="9">
        <v>33195222</v>
      </c>
      <c r="S9" s="9">
        <v>34157883</v>
      </c>
      <c r="T9" s="9">
        <v>35114304</v>
      </c>
      <c r="U9" s="9">
        <v>36062390</v>
      </c>
      <c r="V9" s="9">
        <v>37000012</v>
      </c>
      <c r="W9" s="9">
        <v>37925012</v>
      </c>
    </row>
    <row r="10" spans="1:23" hidden="1" x14ac:dyDescent="0.3">
      <c r="A10" s="6" t="s">
        <v>39</v>
      </c>
      <c r="B10" s="7" t="s">
        <v>40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  <row r="11" spans="1:23" ht="14.25" customHeight="1" x14ac:dyDescent="0.3">
      <c r="A11" s="2" t="s">
        <v>41</v>
      </c>
      <c r="B11" s="3" t="s">
        <v>42</v>
      </c>
      <c r="C11" s="4">
        <f>IF(ISNUMBER(VLOOKUP("1.2.1",A2:W105,3,FALSE)),ROUND(VLOOKUP("1.2.1",A2:W105,3,FALSE),4),0) + IF(ISNUMBER(VLOOKUP("1.2.2",A2:W105,3,FALSE)),ROUND(VLOOKUP("1.2.2",A2:W105,3,FALSE),4),0) + IF(ISNUMBER(VLOOKUP("1.2.x",A2:W105,3,FALSE)),ROUND(VLOOKUP("1.2.x",A2:W105,3,FALSE),4),0)</f>
        <v>5227663.07</v>
      </c>
      <c r="D11" s="4">
        <f>IF(ISNUMBER(VLOOKUP("1.2.1",A2:W105,4,FALSE)),ROUND(VLOOKUP("1.2.1",A2:W105,4,FALSE),4),0) + IF(ISNUMBER(VLOOKUP("1.2.2",A2:W105,4,FALSE)),ROUND(VLOOKUP("1.2.2",A2:W105,4,FALSE),4),0) + IF(ISNUMBER(VLOOKUP("1.2.x",A2:W105,4,FALSE)),ROUND(VLOOKUP("1.2.x",A2:W105,4,FALSE),4),0)</f>
        <v>7799791.1699999999</v>
      </c>
      <c r="E11" s="4">
        <f>IF(ISNUMBER(VLOOKUP("1.2.1",A2:W105,5,FALSE)),ROUND(VLOOKUP("1.2.1",A2:W105,5,FALSE),4),0) + IF(ISNUMBER(VLOOKUP("1.2.2",A2:W105,5,FALSE)),ROUND(VLOOKUP("1.2.2",A2:W105,5,FALSE),4),0) + IF(ISNUMBER(VLOOKUP("1.2.x",A2:W105,5,FALSE)),ROUND(VLOOKUP("1.2.x",A2:W105,5,FALSE),4),0)</f>
        <v>6510464.21</v>
      </c>
      <c r="F11" s="4">
        <f>IF(ISNUMBER(VLOOKUP("1.2.1",A2:W105,6,FALSE)),ROUND(VLOOKUP("1.2.1",A2:W105,6,FALSE),4),0) + IF(ISNUMBER(VLOOKUP("1.2.2",A2:W105,6,FALSE)),ROUND(VLOOKUP("1.2.2",A2:W105,6,FALSE),4),0) + IF(ISNUMBER(VLOOKUP("1.2.x",A2:W105,6,FALSE)),ROUND(VLOOKUP("1.2.x",A2:W105,6,FALSE),4),0)</f>
        <v>10091496.970000001</v>
      </c>
      <c r="G11" s="4">
        <f>IF(ISNUMBER(VLOOKUP("1.2.1",A2:W105,7,FALSE)),ROUND(VLOOKUP("1.2.1",A2:W105,7,FALSE),4),0) + IF(ISNUMBER(VLOOKUP("1.2.2",A2:W105,7,FALSE)),ROUND(VLOOKUP("1.2.2",A2:W105,7,FALSE),4),0) + IF(ISNUMBER(VLOOKUP("1.2.x",A2:W105,7,FALSE)),ROUND(VLOOKUP("1.2.x",A2:W105,7,FALSE),4),0)</f>
        <v>12452456.010000002</v>
      </c>
      <c r="H11" s="4">
        <f>IF(ISNUMBER(VLOOKUP("1.2.1",A2:W105,8,FALSE)),ROUND(VLOOKUP("1.2.1",A2:W105,8,FALSE),4),0) + IF(ISNUMBER(VLOOKUP("1.2.2",A2:W105,8,FALSE)),ROUND(VLOOKUP("1.2.2",A2:W105,8,FALSE),4),0) + IF(ISNUMBER(VLOOKUP("1.2.x",A2:W105,8,FALSE)),ROUND(VLOOKUP("1.2.x",A2:W105,8,FALSE),4),0)</f>
        <v>14296831.529999999</v>
      </c>
      <c r="I11" s="4">
        <f>IF(ISNUMBER(VLOOKUP("1.2.1",A2:W105,9,FALSE)),ROUND(VLOOKUP("1.2.1",A2:W105,9,FALSE),4),0) + IF(ISNUMBER(VLOOKUP("1.2.2",A2:W105,9,FALSE)),ROUND(VLOOKUP("1.2.2",A2:W105,9,FALSE),4),0) + IF(ISNUMBER(VLOOKUP("1.2.x",A2:W105,9,FALSE)),ROUND(VLOOKUP("1.2.x",A2:W105,9,FALSE),4),0)</f>
        <v>25428193.399999999</v>
      </c>
      <c r="J11" s="4">
        <f>IF(ISNUMBER(VLOOKUP("1.2.1",A2:W105,10,FALSE)),ROUND(VLOOKUP("1.2.1",A2:W105,10,FALSE),4),0) + IF(ISNUMBER(VLOOKUP("1.2.2",A2:W105,10,FALSE)),ROUND(VLOOKUP("1.2.2",A2:W105,10,FALSE),4),0) + IF(ISNUMBER(VLOOKUP("1.2.x",A2:W105,10,FALSE)),ROUND(VLOOKUP("1.2.x",A2:W105,10,FALSE),4),0)</f>
        <v>19581408.870000001</v>
      </c>
      <c r="K11" s="5">
        <f>IF(ISNUMBER(VLOOKUP("1.2.1",A2:W105,11,FALSE)),ROUND(VLOOKUP("1.2.1",A2:W105,11,FALSE),4),0) + IF(ISNUMBER(VLOOKUP("1.2.2",A2:W105,11,FALSE)),ROUND(VLOOKUP("1.2.2",A2:W105,11,FALSE),4),0) + IF(ISNUMBER(VLOOKUP("1.2.x",A2:W105,11,FALSE)),ROUND(VLOOKUP("1.2.x",A2:W105,11,FALSE),4),0)</f>
        <v>27664153.940000001</v>
      </c>
      <c r="L11" s="5">
        <f>IF(ISNUMBER(VLOOKUP("1.2.1",A2:W105,12,FALSE)),ROUND(VLOOKUP("1.2.1",A2:W105,12,FALSE),4),0) + IF(ISNUMBER(VLOOKUP("1.2.2",A2:W105,12,FALSE)),ROUND(VLOOKUP("1.2.2",A2:W105,12,FALSE),4),0) + IF(ISNUMBER(VLOOKUP("1.2.x",A2:W105,12,FALSE)),ROUND(VLOOKUP("1.2.x",A2:W105,12,FALSE),4),0)</f>
        <v>18000000</v>
      </c>
      <c r="M11" s="5">
        <f>IF(ISNUMBER(VLOOKUP("1.2.1",A2:W105,13,FALSE)),ROUND(VLOOKUP("1.2.1",A2:W105,13,FALSE),4),0) + IF(ISNUMBER(VLOOKUP("1.2.2",A2:W105,13,FALSE)),ROUND(VLOOKUP("1.2.2",A2:W105,13,FALSE),4),0) + IF(ISNUMBER(VLOOKUP("1.2.x",A2:W105,13,FALSE)),ROUND(VLOOKUP("1.2.x",A2:W105,13,FALSE),4),0)</f>
        <v>7000000</v>
      </c>
      <c r="N11" s="5">
        <f>IF(ISNUMBER(VLOOKUP("1.2.1",A2:W105,14,FALSE)),ROUND(VLOOKUP("1.2.1",A2:W105,14,FALSE),4),0) + IF(ISNUMBER(VLOOKUP("1.2.2",A2:W105,14,FALSE)),ROUND(VLOOKUP("1.2.2",A2:W105,14,FALSE),4),0) + IF(ISNUMBER(VLOOKUP("1.2.x",A2:W105,14,FALSE)),ROUND(VLOOKUP("1.2.x",A2:W105,14,FALSE),4),0)</f>
        <v>7000000</v>
      </c>
      <c r="O11" s="5">
        <f>IF(ISNUMBER(VLOOKUP("1.2.1",A2:W105,15,FALSE)),ROUND(VLOOKUP("1.2.1",A2:W105,15,FALSE),4),0) + IF(ISNUMBER(VLOOKUP("1.2.2",A2:W105,15,FALSE)),ROUND(VLOOKUP("1.2.2",A2:W105,15,FALSE),4),0) + IF(ISNUMBER(VLOOKUP("1.2.x",A2:W105,15,FALSE)),ROUND(VLOOKUP("1.2.x",A2:W105,15,FALSE),4),0)</f>
        <v>0</v>
      </c>
      <c r="P11" s="5">
        <f>IF(ISNUMBER(VLOOKUP("1.2.1",A2:W105,16,FALSE)),ROUND(VLOOKUP("1.2.1",A2:W105,16,FALSE),4),0) + IF(ISNUMBER(VLOOKUP("1.2.2",A2:W105,16,FALSE)),ROUND(VLOOKUP("1.2.2",A2:W105,16,FALSE),4),0) + IF(ISNUMBER(VLOOKUP("1.2.x",A2:W105,16,FALSE)),ROUND(VLOOKUP("1.2.x",A2:W105,16,FALSE),4),0)</f>
        <v>0</v>
      </c>
      <c r="Q11" s="5">
        <f>IF(ISNUMBER(VLOOKUP("1.2.1",A2:W105,17,FALSE)),ROUND(VLOOKUP("1.2.1",A2:W105,17,FALSE),4),0) + IF(ISNUMBER(VLOOKUP("1.2.2",A2:W105,17,FALSE)),ROUND(VLOOKUP("1.2.2",A2:W105,17,FALSE),4),0) + IF(ISNUMBER(VLOOKUP("1.2.x",A2:W105,17,FALSE)),ROUND(VLOOKUP("1.2.x",A2:W105,17,FALSE),4),0)</f>
        <v>0</v>
      </c>
      <c r="R11" s="5">
        <f>IF(ISNUMBER(VLOOKUP("1.2.1",A2:W105,18,FALSE)),ROUND(VLOOKUP("1.2.1",A2:W105,18,FALSE),4),0) + IF(ISNUMBER(VLOOKUP("1.2.2",A2:W105,18,FALSE)),ROUND(VLOOKUP("1.2.2",A2:W105,18,FALSE),4),0) + IF(ISNUMBER(VLOOKUP("1.2.x",A2:W105,18,FALSE)),ROUND(VLOOKUP("1.2.x",A2:W105,18,FALSE),4),0)</f>
        <v>0</v>
      </c>
      <c r="S11" s="5">
        <f>IF(ISNUMBER(VLOOKUP("1.2.1",A2:W105,19,FALSE)),ROUND(VLOOKUP("1.2.1",A2:W105,19,FALSE),4),0) + IF(ISNUMBER(VLOOKUP("1.2.2",A2:W105,19,FALSE)),ROUND(VLOOKUP("1.2.2",A2:W105,19,FALSE),4),0) + IF(ISNUMBER(VLOOKUP("1.2.x",A2:W105,19,FALSE)),ROUND(VLOOKUP("1.2.x",A2:W105,19,FALSE),4),0)</f>
        <v>0</v>
      </c>
      <c r="T11" s="5">
        <f>IF(ISNUMBER(VLOOKUP("1.2.1",A2:W105,20,FALSE)),ROUND(VLOOKUP("1.2.1",A2:W105,20,FALSE),4),0) + IF(ISNUMBER(VLOOKUP("1.2.2",A2:W105,20,FALSE)),ROUND(VLOOKUP("1.2.2",A2:W105,20,FALSE),4),0) + IF(ISNUMBER(VLOOKUP("1.2.x",A2:W105,20,FALSE)),ROUND(VLOOKUP("1.2.x",A2:W105,20,FALSE),4),0)</f>
        <v>0</v>
      </c>
      <c r="U11" s="5">
        <f>IF(ISNUMBER(VLOOKUP("1.2.1",A2:W105,21,FALSE)),ROUND(VLOOKUP("1.2.1",A2:W105,21,FALSE),4),0) + IF(ISNUMBER(VLOOKUP("1.2.2",A2:W105,21,FALSE)),ROUND(VLOOKUP("1.2.2",A2:W105,21,FALSE),4),0) + IF(ISNUMBER(VLOOKUP("1.2.x",A2:W105,21,FALSE)),ROUND(VLOOKUP("1.2.x",A2:W105,21,FALSE),4),0)</f>
        <v>0</v>
      </c>
      <c r="V11" s="5">
        <f>IF(ISNUMBER(VLOOKUP("1.2.1",A2:W105,22,FALSE)),ROUND(VLOOKUP("1.2.1",A2:W105,22,FALSE),4),0) + IF(ISNUMBER(VLOOKUP("1.2.2",A2:W105,22,FALSE)),ROUND(VLOOKUP("1.2.2",A2:W105,22,FALSE),4),0) + IF(ISNUMBER(VLOOKUP("1.2.x",A2:W105,22,FALSE)),ROUND(VLOOKUP("1.2.x",A2:W105,22,FALSE),4),0)</f>
        <v>0</v>
      </c>
      <c r="W11" s="5">
        <f>IF(ISNUMBER(VLOOKUP("1.2.1",A2:W105,23,FALSE)),ROUND(VLOOKUP("1.2.1",A2:W105,23,FALSE),4),0) + IF(ISNUMBER(VLOOKUP("1.2.2",A2:W105,23,FALSE)),ROUND(VLOOKUP("1.2.2",A2:W105,23,FALSE),4),0) + IF(ISNUMBER(VLOOKUP("1.2.x",A2:W105,23,FALSE)),ROUND(VLOOKUP("1.2.x",A2:W105,23,FALSE),4),0)</f>
        <v>0</v>
      </c>
    </row>
    <row r="12" spans="1:23" ht="14.25" customHeight="1" x14ac:dyDescent="0.3">
      <c r="A12" s="6" t="s">
        <v>43</v>
      </c>
      <c r="B12" s="7" t="s">
        <v>44</v>
      </c>
      <c r="C12" s="8">
        <v>1835721.45</v>
      </c>
      <c r="D12" s="8">
        <v>3202415.16</v>
      </c>
      <c r="E12" s="8">
        <v>3891400.09</v>
      </c>
      <c r="F12" s="8">
        <v>3050815.38</v>
      </c>
      <c r="G12" s="8">
        <v>1447944.82</v>
      </c>
      <c r="H12" s="8">
        <v>1963666.72</v>
      </c>
      <c r="I12" s="8">
        <v>5708245.5999999996</v>
      </c>
      <c r="J12" s="8">
        <v>3060743.91</v>
      </c>
      <c r="K12" s="9">
        <v>1557021.53</v>
      </c>
      <c r="L12" s="9">
        <v>2000000</v>
      </c>
      <c r="M12" s="9">
        <v>2000000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</row>
    <row r="13" spans="1:23" ht="14.25" customHeight="1" x14ac:dyDescent="0.3">
      <c r="A13" s="6" t="s">
        <v>45</v>
      </c>
      <c r="B13" s="7" t="s">
        <v>46</v>
      </c>
      <c r="C13" s="8">
        <v>3334995.18</v>
      </c>
      <c r="D13" s="8">
        <v>4416664.0999999996</v>
      </c>
      <c r="E13" s="8">
        <v>2612431.9500000002</v>
      </c>
      <c r="F13" s="8">
        <v>5992196.71</v>
      </c>
      <c r="G13" s="8">
        <v>9122906.2300000004</v>
      </c>
      <c r="H13" s="8">
        <v>11431938.189999999</v>
      </c>
      <c r="I13" s="8">
        <v>14529127.4</v>
      </c>
      <c r="J13" s="8">
        <v>11304844.560000001</v>
      </c>
      <c r="K13" s="9">
        <v>23133132.41</v>
      </c>
      <c r="L13" s="9">
        <v>16000000</v>
      </c>
      <c r="M13" s="9">
        <v>5000000</v>
      </c>
      <c r="N13" s="9">
        <v>7000000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</row>
    <row r="14" spans="1:23" hidden="1" x14ac:dyDescent="0.3">
      <c r="A14" s="6" t="s">
        <v>47</v>
      </c>
      <c r="B14" s="7" t="s">
        <v>40</v>
      </c>
      <c r="C14" s="8">
        <v>56946.44</v>
      </c>
      <c r="D14" s="8">
        <v>180711.91</v>
      </c>
      <c r="E14" s="8">
        <v>6632.17</v>
      </c>
      <c r="F14" s="8">
        <v>1048484.88</v>
      </c>
      <c r="G14" s="8">
        <v>1881604.96</v>
      </c>
      <c r="H14" s="8">
        <v>901226.62</v>
      </c>
      <c r="I14" s="8">
        <v>5190820.4000000004</v>
      </c>
      <c r="J14" s="8">
        <v>5215820.4000000004</v>
      </c>
      <c r="K14" s="9">
        <v>2974000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</row>
    <row r="15" spans="1:23" ht="14.25" customHeight="1" x14ac:dyDescent="0.3">
      <c r="A15" s="2" t="s">
        <v>48</v>
      </c>
      <c r="B15" s="3" t="s">
        <v>49</v>
      </c>
      <c r="C15" s="4">
        <f>IF(ISNUMBER(VLOOKUP("2.1",A2:W105,3,FALSE)),ROUND(VLOOKUP("2.1",A2:W105,3,FALSE),4),0) + IF(ISNUMBER(VLOOKUP("2.2",A2:W105,3,FALSE)),ROUND(VLOOKUP("2.2",A2:W105,3,FALSE),4),0)</f>
        <v>87170511.520000011</v>
      </c>
      <c r="D15" s="4">
        <f>IF(ISNUMBER(VLOOKUP("2.1",A2:W105,4,FALSE)),ROUND(VLOOKUP("2.1",A2:W105,4,FALSE),4),0) + IF(ISNUMBER(VLOOKUP("2.2",A2:W105,4,FALSE)),ROUND(VLOOKUP("2.2",A2:W105,4,FALSE),4),0)</f>
        <v>106140041.39</v>
      </c>
      <c r="E15" s="4">
        <f>IF(ISNUMBER(VLOOKUP("2.1",A2:W105,5,FALSE)),ROUND(VLOOKUP("2.1",A2:W105,5,FALSE),4),0) + IF(ISNUMBER(VLOOKUP("2.2",A2:W105,5,FALSE)),ROUND(VLOOKUP("2.2",A2:W105,5,FALSE),4),0)</f>
        <v>139232499.10999998</v>
      </c>
      <c r="F15" s="4">
        <f>IF(ISNUMBER(VLOOKUP("2.1",A2:W105,6,FALSE)),ROUND(VLOOKUP("2.1",A2:W105,6,FALSE),4),0) + IF(ISNUMBER(VLOOKUP("2.2",A2:W105,6,FALSE)),ROUND(VLOOKUP("2.2",A2:W105,6,FALSE),4),0)</f>
        <v>146087259.31</v>
      </c>
      <c r="G15" s="4">
        <f>IF(ISNUMBER(VLOOKUP("2.1",A2:W105,7,FALSE)),ROUND(VLOOKUP("2.1",A2:W105,7,FALSE),4),0) + IF(ISNUMBER(VLOOKUP("2.2",A2:W105,7,FALSE)),ROUND(VLOOKUP("2.2",A2:W105,7,FALSE),4),0)</f>
        <v>163944259.25</v>
      </c>
      <c r="H15" s="4">
        <f>IF(ISNUMBER(VLOOKUP("2.1",A2:W105,8,FALSE)),ROUND(VLOOKUP("2.1",A2:W105,8,FALSE),4),0) + IF(ISNUMBER(VLOOKUP("2.2",A2:W105,8,FALSE)),ROUND(VLOOKUP("2.2",A2:W105,8,FALSE),4),0)</f>
        <v>201075601.94</v>
      </c>
      <c r="I15" s="4">
        <f>IF(ISNUMBER(VLOOKUP("2.1",A2:W105,9,FALSE)),ROUND(VLOOKUP("2.1",A2:W105,9,FALSE),4),0) + IF(ISNUMBER(VLOOKUP("2.2",A2:W105,9,FALSE)),ROUND(VLOOKUP("2.2",A2:W105,9,FALSE),4),0)</f>
        <v>209607227.17000002</v>
      </c>
      <c r="J15" s="4">
        <f>IF(ISNUMBER(VLOOKUP("2.1",A2:W105,10,FALSE)),ROUND(VLOOKUP("2.1",A2:W105,10,FALSE),4),0) + IF(ISNUMBER(VLOOKUP("2.2",A2:W105,10,FALSE)),ROUND(VLOOKUP("2.2",A2:W105,10,FALSE),4),0)</f>
        <v>202437356.88</v>
      </c>
      <c r="K15" s="5">
        <f>IF(ISNUMBER(VLOOKUP("2.1",A2:W105,11,FALSE)),ROUND(VLOOKUP("2.1",A2:W105,11,FALSE),4),0) + IF(ISNUMBER(VLOOKUP("2.2",A2:W105,11,FALSE)),ROUND(VLOOKUP("2.2",A2:W105,11,FALSE),4),0)</f>
        <v>210625043.19</v>
      </c>
      <c r="L15" s="5">
        <f>IF(ISNUMBER(VLOOKUP("2.1",A2:W105,12,FALSE)),ROUND(VLOOKUP("2.1",A2:W105,12,FALSE),4),0) + IF(ISNUMBER(VLOOKUP("2.2",A2:W105,12,FALSE)),ROUND(VLOOKUP("2.2",A2:W105,12,FALSE),4),0)</f>
        <v>171290443</v>
      </c>
      <c r="M15" s="5">
        <f>IF(ISNUMBER(VLOOKUP("2.1",A2:W105,13,FALSE)),ROUND(VLOOKUP("2.1",A2:W105,13,FALSE),4),0) + IF(ISNUMBER(VLOOKUP("2.2",A2:W105,13,FALSE)),ROUND(VLOOKUP("2.2",A2:W105,13,FALSE),4),0)</f>
        <v>160416402</v>
      </c>
      <c r="N15" s="5">
        <f>IF(ISNUMBER(VLOOKUP("2.1",A2:W105,14,FALSE)),ROUND(VLOOKUP("2.1",A2:W105,14,FALSE),4),0) + IF(ISNUMBER(VLOOKUP("2.2",A2:W105,14,FALSE)),ROUND(VLOOKUP("2.2",A2:W105,14,FALSE),4),0)</f>
        <v>165118475</v>
      </c>
      <c r="O15" s="5">
        <f>IF(ISNUMBER(VLOOKUP("2.1",A2:W105,15,FALSE)),ROUND(VLOOKUP("2.1",A2:W105,15,FALSE),4),0) + IF(ISNUMBER(VLOOKUP("2.2",A2:W105,15,FALSE)),ROUND(VLOOKUP("2.2",A2:W105,15,FALSE),4),0)</f>
        <v>167520122</v>
      </c>
      <c r="P15" s="5">
        <f>IF(ISNUMBER(VLOOKUP("2.1",A2:W105,16,FALSE)),ROUND(VLOOKUP("2.1",A2:W105,16,FALSE),4),0) + IF(ISNUMBER(VLOOKUP("2.2",A2:W105,16,FALSE)),ROUND(VLOOKUP("2.2",A2:W105,16,FALSE),4),0)</f>
        <v>171953805</v>
      </c>
      <c r="Q15" s="5">
        <f>IF(ISNUMBER(VLOOKUP("2.1",A2:W105,17,FALSE)),ROUND(VLOOKUP("2.1",A2:W105,17,FALSE),4),0) + IF(ISNUMBER(VLOOKUP("2.2",A2:W105,17,FALSE)),ROUND(VLOOKUP("2.2",A2:W105,17,FALSE),4),0)</f>
        <v>181408780</v>
      </c>
      <c r="R15" s="5">
        <f>IF(ISNUMBER(VLOOKUP("2.1",A2:W105,18,FALSE)),ROUND(VLOOKUP("2.1",A2:W105,18,FALSE),4),0) + IF(ISNUMBER(VLOOKUP("2.2",A2:W105,18,FALSE)),ROUND(VLOOKUP("2.2",A2:W105,18,FALSE),4),0)</f>
        <v>187187452</v>
      </c>
      <c r="S15" s="5">
        <f>IF(ISNUMBER(VLOOKUP("2.1",A2:W105,19,FALSE)),ROUND(VLOOKUP("2.1",A2:W105,19,FALSE),4),0) + IF(ISNUMBER(VLOOKUP("2.2",A2:W105,19,FALSE)),ROUND(VLOOKUP("2.2",A2:W105,19,FALSE),4),0)</f>
        <v>192760887</v>
      </c>
      <c r="T15" s="5">
        <f>IF(ISNUMBER(VLOOKUP("2.1",A2:W105,20,FALSE)),ROUND(VLOOKUP("2.1",A2:W105,20,FALSE),4),0) + IF(ISNUMBER(VLOOKUP("2.2",A2:W105,20,FALSE)),ROUND(VLOOKUP("2.2",A2:W105,20,FALSE),4),0)</f>
        <v>198298191</v>
      </c>
      <c r="U15" s="5">
        <f>IF(ISNUMBER(VLOOKUP("2.1",A2:W105,21,FALSE)),ROUND(VLOOKUP("2.1",A2:W105,21,FALSE),4),0) + IF(ISNUMBER(VLOOKUP("2.2",A2:W105,21,FALSE)),ROUND(VLOOKUP("2.2",A2:W105,21,FALSE),4),0)</f>
        <v>203787242</v>
      </c>
      <c r="V15" s="5">
        <f>IF(ISNUMBER(VLOOKUP("2.1",A2:W105,22,FALSE)),ROUND(VLOOKUP("2.1",A2:W105,22,FALSE),4),0) + IF(ISNUMBER(VLOOKUP("2.2",A2:W105,22,FALSE)),ROUND(VLOOKUP("2.2",A2:W105,22,FALSE),4),0)</f>
        <v>209215710</v>
      </c>
      <c r="W15" s="5">
        <f>IF(ISNUMBER(VLOOKUP("2.1",A2:W105,23,FALSE)),ROUND(VLOOKUP("2.1",A2:W105,23,FALSE),4),0) + IF(ISNUMBER(VLOOKUP("2.2",A2:W105,23,FALSE)),ROUND(VLOOKUP("2.2",A2:W105,23,FALSE),4),0)</f>
        <v>216901103</v>
      </c>
    </row>
    <row r="16" spans="1:23" ht="14.25" customHeight="1" x14ac:dyDescent="0.3">
      <c r="A16" s="2" t="s">
        <v>50</v>
      </c>
      <c r="B16" s="3" t="s">
        <v>51</v>
      </c>
      <c r="C16" s="4">
        <f>IF(ISNUMBER(VLOOKUP("2.1.1",A2:W105,3,FALSE)),ROUND(VLOOKUP("2.1.1",A2:W105,3,FALSE),4),0) + IF(ISNUMBER(VLOOKUP("2.1.2",A2:W105,3,FALSE)),ROUND(VLOOKUP("2.1.2",A2:W105,3,FALSE),4),0) + IF(ISNUMBER(VLOOKUP("2.1.3",A2:W105,3,FALSE)),ROUND(VLOOKUP("2.1.3",A2:W105,3,FALSE),4),0) + IF(ISNUMBER(VLOOKUP("2.1.x",A2:W105,3,FALSE)),ROUND(VLOOKUP("2.1.x",A2:W105,3,FALSE),4),0)</f>
        <v>72287960.729999989</v>
      </c>
      <c r="D16" s="4">
        <f>IF(ISNUMBER(VLOOKUP("2.1.1",A2:W105,4,FALSE)),ROUND(VLOOKUP("2.1.1",A2:W105,4,FALSE),4),0) + IF(ISNUMBER(VLOOKUP("2.1.2",A2:W105,4,FALSE)),ROUND(VLOOKUP("2.1.2",A2:W105,4,FALSE),4),0) + IF(ISNUMBER(VLOOKUP("2.1.3",A2:W105,4,FALSE)),ROUND(VLOOKUP("2.1.3",A2:W105,4,FALSE),4),0) + IF(ISNUMBER(VLOOKUP("2.1.x",A2:W105,4,FALSE)),ROUND(VLOOKUP("2.1.x",A2:W105,4,FALSE),4),0)</f>
        <v>94789442.270000011</v>
      </c>
      <c r="E16" s="4">
        <f>IF(ISNUMBER(VLOOKUP("2.1.1",A2:W105,5,FALSE)),ROUND(VLOOKUP("2.1.1",A2:W105,5,FALSE),4),0) + IF(ISNUMBER(VLOOKUP("2.1.2",A2:W105,5,FALSE)),ROUND(VLOOKUP("2.1.2",A2:W105,5,FALSE),4),0) + IF(ISNUMBER(VLOOKUP("2.1.3",A2:W105,5,FALSE)),ROUND(VLOOKUP("2.1.3",A2:W105,5,FALSE),4),0) + IF(ISNUMBER(VLOOKUP("2.1.x",A2:W105,5,FALSE)),ROUND(VLOOKUP("2.1.x",A2:W105,5,FALSE),4),0)</f>
        <v>112310097.34999999</v>
      </c>
      <c r="F16" s="4">
        <f>IF(ISNUMBER(VLOOKUP("2.1.1",A2:W105,6,FALSE)),ROUND(VLOOKUP("2.1.1",A2:W105,6,FALSE),4),0) + IF(ISNUMBER(VLOOKUP("2.1.2",A2:W105,6,FALSE)),ROUND(VLOOKUP("2.1.2",A2:W105,6,FALSE),4),0) + IF(ISNUMBER(VLOOKUP("2.1.3",A2:W105,6,FALSE)),ROUND(VLOOKUP("2.1.3",A2:W105,6,FALSE),4),0) + IF(ISNUMBER(VLOOKUP("2.1.x",A2:W105,6,FALSE)),ROUND(VLOOKUP("2.1.x",A2:W105,6,FALSE),4),0)</f>
        <v>117974944.12</v>
      </c>
      <c r="G16" s="4">
        <f>IF(ISNUMBER(VLOOKUP("2.1.1",A2:W105,7,FALSE)),ROUND(VLOOKUP("2.1.1",A2:W105,7,FALSE),4),0) + IF(ISNUMBER(VLOOKUP("2.1.2",A2:W105,7,FALSE)),ROUND(VLOOKUP("2.1.2",A2:W105,7,FALSE),4),0) + IF(ISNUMBER(VLOOKUP("2.1.3",A2:W105,7,FALSE)),ROUND(VLOOKUP("2.1.3",A2:W105,7,FALSE),4),0) + IF(ISNUMBER(VLOOKUP("2.1.x",A2:W105,7,FALSE)),ROUND(VLOOKUP("2.1.x",A2:W105,7,FALSE),4),0)</f>
        <v>141522807.80000001</v>
      </c>
      <c r="H16" s="4">
        <f>IF(ISNUMBER(VLOOKUP("2.1.1",A2:W105,8,FALSE)),ROUND(VLOOKUP("2.1.1",A2:W105,8,FALSE),4),0) + IF(ISNUMBER(VLOOKUP("2.1.2",A2:W105,8,FALSE)),ROUND(VLOOKUP("2.1.2",A2:W105,8,FALSE),4),0) + IF(ISNUMBER(VLOOKUP("2.1.3",A2:W105,8,FALSE)),ROUND(VLOOKUP("2.1.3",A2:W105,8,FALSE),4),0) + IF(ISNUMBER(VLOOKUP("2.1.x",A2:W105,8,FALSE)),ROUND(VLOOKUP("2.1.x",A2:W105,8,FALSE),4),0)</f>
        <v>162411606.24000001</v>
      </c>
      <c r="I16" s="4">
        <f>IF(ISNUMBER(VLOOKUP("2.1.1",A2:W105,9,FALSE)),ROUND(VLOOKUP("2.1.1",A2:W105,9,FALSE),4),0) + IF(ISNUMBER(VLOOKUP("2.1.2",A2:W105,9,FALSE)),ROUND(VLOOKUP("2.1.2",A2:W105,9,FALSE),4),0) + IF(ISNUMBER(VLOOKUP("2.1.3",A2:W105,9,FALSE)),ROUND(VLOOKUP("2.1.3",A2:W105,9,FALSE),4),0) + IF(ISNUMBER(VLOOKUP("2.1.x",A2:W105,9,FALSE)),ROUND(VLOOKUP("2.1.x",A2:W105,9,FALSE),4),0)</f>
        <v>170966496.93000001</v>
      </c>
      <c r="J16" s="4">
        <f>IF(ISNUMBER(VLOOKUP("2.1.1",A2:W105,10,FALSE)),ROUND(VLOOKUP("2.1.1",A2:W105,10,FALSE),4),0) + IF(ISNUMBER(VLOOKUP("2.1.2",A2:W105,10,FALSE)),ROUND(VLOOKUP("2.1.2",A2:W105,10,FALSE),4),0) + IF(ISNUMBER(VLOOKUP("2.1.3",A2:W105,10,FALSE)),ROUND(VLOOKUP("2.1.3",A2:W105,10,FALSE),4),0) + IF(ISNUMBER(VLOOKUP("2.1.x",A2:W105,10,FALSE)),ROUND(VLOOKUP("2.1.x",A2:W105,10,FALSE),4),0)</f>
        <v>174713860.53</v>
      </c>
      <c r="K16" s="5">
        <f>IF(ISNUMBER(VLOOKUP("2.1.1",A2:W105,11,FALSE)),ROUND(VLOOKUP("2.1.1",A2:W105,11,FALSE),4),0) + IF(ISNUMBER(VLOOKUP("2.1.2",A2:W105,11,FALSE)),ROUND(VLOOKUP("2.1.2",A2:W105,11,FALSE),4),0) + IF(ISNUMBER(VLOOKUP("2.1.3",A2:W105,11,FALSE)),ROUND(VLOOKUP("2.1.3",A2:W105,11,FALSE),4),0) + IF(ISNUMBER(VLOOKUP("2.1.x",A2:W105,11,FALSE)),ROUND(VLOOKUP("2.1.x",A2:W105,11,FALSE),4),0)</f>
        <v>151736822.97999999</v>
      </c>
      <c r="L16" s="5">
        <f>IF(ISNUMBER(VLOOKUP("2.1.1",A2:W105,12,FALSE)),ROUND(VLOOKUP("2.1.1",A2:W105,12,FALSE),4),0) + IF(ISNUMBER(VLOOKUP("2.1.2",A2:W105,12,FALSE)),ROUND(VLOOKUP("2.1.2",A2:W105,12,FALSE),4),0) + IF(ISNUMBER(VLOOKUP("2.1.3",A2:W105,12,FALSE)),ROUND(VLOOKUP("2.1.3",A2:W105,12,FALSE),4),0) + IF(ISNUMBER(VLOOKUP("2.1.x",A2:W105,12,FALSE)),ROUND(VLOOKUP("2.1.x",A2:W105,12,FALSE),4),0)</f>
        <v>152723563.91</v>
      </c>
      <c r="M16" s="5">
        <f>IF(ISNUMBER(VLOOKUP("2.1.1",A2:W105,13,FALSE)),ROUND(VLOOKUP("2.1.1",A2:W105,13,FALSE),4),0) + IF(ISNUMBER(VLOOKUP("2.1.2",A2:W105,13,FALSE)),ROUND(VLOOKUP("2.1.2",A2:W105,13,FALSE),4),0) + IF(ISNUMBER(VLOOKUP("2.1.3",A2:W105,13,FALSE)),ROUND(VLOOKUP("2.1.3",A2:W105,13,FALSE),4),0) + IF(ISNUMBER(VLOOKUP("2.1.x",A2:W105,13,FALSE)),ROUND(VLOOKUP("2.1.x",A2:W105,13,FALSE),4),0)</f>
        <v>155682092.91</v>
      </c>
      <c r="N16" s="5">
        <f>IF(ISNUMBER(VLOOKUP("2.1.1",A2:W105,14,FALSE)),ROUND(VLOOKUP("2.1.1",A2:W105,14,FALSE),4),0) + IF(ISNUMBER(VLOOKUP("2.1.2",A2:W105,14,FALSE)),ROUND(VLOOKUP("2.1.2",A2:W105,14,FALSE),4),0) + IF(ISNUMBER(VLOOKUP("2.1.3",A2:W105,14,FALSE)),ROUND(VLOOKUP("2.1.3",A2:W105,14,FALSE),4),0) + IF(ISNUMBER(VLOOKUP("2.1.x",A2:W105,14,FALSE)),ROUND(VLOOKUP("2.1.x",A2:W105,14,FALSE),4),0)</f>
        <v>159193121.91</v>
      </c>
      <c r="O16" s="5">
        <f>IF(ISNUMBER(VLOOKUP("2.1.1",A2:W105,15,FALSE)),ROUND(VLOOKUP("2.1.1",A2:W105,15,FALSE),4),0) + IF(ISNUMBER(VLOOKUP("2.1.2",A2:W105,15,FALSE)),ROUND(VLOOKUP("2.1.2",A2:W105,15,FALSE),4),0) + IF(ISNUMBER(VLOOKUP("2.1.3",A2:W105,15,FALSE)),ROUND(VLOOKUP("2.1.3",A2:W105,15,FALSE),4),0) + IF(ISNUMBER(VLOOKUP("2.1.x",A2:W105,15,FALSE)),ROUND(VLOOKUP("2.1.x",A2:W105,15,FALSE),4),0)</f>
        <v>162555693.91</v>
      </c>
      <c r="P16" s="5">
        <f>IF(ISNUMBER(VLOOKUP("2.1.1",A2:W105,16,FALSE)),ROUND(VLOOKUP("2.1.1",A2:W105,16,FALSE),4),0) + IF(ISNUMBER(VLOOKUP("2.1.2",A2:W105,16,FALSE)),ROUND(VLOOKUP("2.1.2",A2:W105,16,FALSE),4),0) + IF(ISNUMBER(VLOOKUP("2.1.3",A2:W105,16,FALSE)),ROUND(VLOOKUP("2.1.3",A2:W105,16,FALSE),4),0) + IF(ISNUMBER(VLOOKUP("2.1.x",A2:W105,16,FALSE)),ROUND(VLOOKUP("2.1.x",A2:W105,16,FALSE),4),0)</f>
        <v>165389530</v>
      </c>
      <c r="Q16" s="5">
        <f>IF(ISNUMBER(VLOOKUP("2.1.1",A2:W105,17,FALSE)),ROUND(VLOOKUP("2.1.1",A2:W105,17,FALSE),4),0) + IF(ISNUMBER(VLOOKUP("2.1.2",A2:W105,17,FALSE)),ROUND(VLOOKUP("2.1.2",A2:W105,17,FALSE),4),0) + IF(ISNUMBER(VLOOKUP("2.1.3",A2:W105,17,FALSE)),ROUND(VLOOKUP("2.1.3",A2:W105,17,FALSE),4),0) + IF(ISNUMBER(VLOOKUP("2.1.x",A2:W105,17,FALSE)),ROUND(VLOOKUP("2.1.x",A2:W105,17,FALSE),4),0)</f>
        <v>168917841</v>
      </c>
      <c r="R16" s="5">
        <f>IF(ISNUMBER(VLOOKUP("2.1.1",A2:W105,18,FALSE)),ROUND(VLOOKUP("2.1.1",A2:W105,18,FALSE),4),0) + IF(ISNUMBER(VLOOKUP("2.1.2",A2:W105,18,FALSE)),ROUND(VLOOKUP("2.1.2",A2:W105,18,FALSE),4),0) + IF(ISNUMBER(VLOOKUP("2.1.3",A2:W105,18,FALSE)),ROUND(VLOOKUP("2.1.3",A2:W105,18,FALSE),4),0) + IF(ISNUMBER(VLOOKUP("2.1.x",A2:W105,18,FALSE)),ROUND(VLOOKUP("2.1.x",A2:W105,18,FALSE),4),0)</f>
        <v>172628247</v>
      </c>
      <c r="S16" s="5">
        <f>IF(ISNUMBER(VLOOKUP("2.1.1",A2:W105,19,FALSE)),ROUND(VLOOKUP("2.1.1",A2:W105,19,FALSE),4),0) + IF(ISNUMBER(VLOOKUP("2.1.2",A2:W105,19,FALSE)),ROUND(VLOOKUP("2.1.2",A2:W105,19,FALSE),4),0) + IF(ISNUMBER(VLOOKUP("2.1.3",A2:W105,19,FALSE)),ROUND(VLOOKUP("2.1.3",A2:W105,19,FALSE),4),0) + IF(ISNUMBER(VLOOKUP("2.1.x",A2:W105,19,FALSE)),ROUND(VLOOKUP("2.1.x",A2:W105,19,FALSE),4),0)</f>
        <v>176396242</v>
      </c>
      <c r="T16" s="5">
        <f>IF(ISNUMBER(VLOOKUP("2.1.1",A2:W105,20,FALSE)),ROUND(VLOOKUP("2.1.1",A2:W105,20,FALSE),4),0) + IF(ISNUMBER(VLOOKUP("2.1.2",A2:W105,20,FALSE)),ROUND(VLOOKUP("2.1.2",A2:W105,20,FALSE),4),0) + IF(ISNUMBER(VLOOKUP("2.1.3",A2:W105,20,FALSE)),ROUND(VLOOKUP("2.1.3",A2:W105,20,FALSE),4),0) + IF(ISNUMBER(VLOOKUP("2.1.x",A2:W105,20,FALSE)),ROUND(VLOOKUP("2.1.x",A2:W105,20,FALSE),4),0)</f>
        <v>180239689</v>
      </c>
      <c r="U16" s="5">
        <f>IF(ISNUMBER(VLOOKUP("2.1.1",A2:W105,21,FALSE)),ROUND(VLOOKUP("2.1.1",A2:W105,21,FALSE),4),0) + IF(ISNUMBER(VLOOKUP("2.1.2",A2:W105,21,FALSE)),ROUND(VLOOKUP("2.1.2",A2:W105,21,FALSE),4),0) + IF(ISNUMBER(VLOOKUP("2.1.3",A2:W105,21,FALSE)),ROUND(VLOOKUP("2.1.3",A2:W105,21,FALSE),4),0) + IF(ISNUMBER(VLOOKUP("2.1.x",A2:W105,21,FALSE)),ROUND(VLOOKUP("2.1.x",A2:W105,21,FALSE),4),0)</f>
        <v>184159342</v>
      </c>
      <c r="V16" s="5">
        <f>IF(ISNUMBER(VLOOKUP("2.1.1",A2:W105,22,FALSE)),ROUND(VLOOKUP("2.1.1",A2:W105,22,FALSE),4),0) + IF(ISNUMBER(VLOOKUP("2.1.2",A2:W105,22,FALSE)),ROUND(VLOOKUP("2.1.2",A2:W105,22,FALSE),4),0) + IF(ISNUMBER(VLOOKUP("2.1.3",A2:W105,22,FALSE)),ROUND(VLOOKUP("2.1.3",A2:W105,22,FALSE),4),0) + IF(ISNUMBER(VLOOKUP("2.1.x",A2:W105,22,FALSE)),ROUND(VLOOKUP("2.1.x",A2:W105,22,FALSE),4),0)</f>
        <v>188116869</v>
      </c>
      <c r="W16" s="5">
        <f>IF(ISNUMBER(VLOOKUP("2.1.1",A2:W105,23,FALSE)),ROUND(VLOOKUP("2.1.1",A2:W105,23,FALSE),4),0) + IF(ISNUMBER(VLOOKUP("2.1.2",A2:W105,23,FALSE)),ROUND(VLOOKUP("2.1.2",A2:W105,23,FALSE),4),0) + IF(ISNUMBER(VLOOKUP("2.1.3",A2:W105,23,FALSE)),ROUND(VLOOKUP("2.1.3",A2:W105,23,FALSE),4),0) + IF(ISNUMBER(VLOOKUP("2.1.x",A2:W105,23,FALSE)),ROUND(VLOOKUP("2.1.x",A2:W105,23,FALSE),4),0)</f>
        <v>192187777</v>
      </c>
    </row>
    <row r="17" spans="1:23" ht="14.25" customHeight="1" x14ac:dyDescent="0.3">
      <c r="A17" s="6" t="s">
        <v>52</v>
      </c>
      <c r="B17" s="7" t="s">
        <v>53</v>
      </c>
      <c r="C17" s="8">
        <v>33198140.399999999</v>
      </c>
      <c r="D17" s="8">
        <v>35451275.649999999</v>
      </c>
      <c r="E17" s="8">
        <v>37779459.039999999</v>
      </c>
      <c r="F17" s="8">
        <v>40347645.600000001</v>
      </c>
      <c r="G17" s="8">
        <v>45089866.420000002</v>
      </c>
      <c r="H17" s="8">
        <v>50329977.700000003</v>
      </c>
      <c r="I17" s="8">
        <v>56546282.890000001</v>
      </c>
      <c r="J17" s="8">
        <v>56848750.57</v>
      </c>
      <c r="K17" s="9">
        <v>58038515.549999997</v>
      </c>
      <c r="L17" s="9">
        <v>59017937</v>
      </c>
      <c r="M17" s="9">
        <v>60955116</v>
      </c>
      <c r="N17" s="9">
        <v>62955550</v>
      </c>
      <c r="O17" s="9">
        <v>64893828</v>
      </c>
      <c r="P17" s="9">
        <v>66875204</v>
      </c>
      <c r="Q17" s="9">
        <v>68899992</v>
      </c>
      <c r="R17" s="9">
        <v>70915948</v>
      </c>
      <c r="S17" s="9">
        <v>72954675</v>
      </c>
      <c r="T17" s="9">
        <v>75033384</v>
      </c>
      <c r="U17" s="9">
        <v>77152163</v>
      </c>
      <c r="V17" s="9">
        <v>79272003</v>
      </c>
      <c r="W17" s="9">
        <v>81429857</v>
      </c>
    </row>
    <row r="18" spans="1:23" ht="14.25" customHeight="1" x14ac:dyDescent="0.3">
      <c r="A18" s="6" t="s">
        <v>54</v>
      </c>
      <c r="B18" s="7" t="s">
        <v>55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666778.31000000006</v>
      </c>
      <c r="J18" s="10">
        <v>666778.31000000006</v>
      </c>
      <c r="K18" s="11">
        <v>676333.1</v>
      </c>
      <c r="L18" s="11">
        <v>492264.91</v>
      </c>
      <c r="M18" s="11">
        <v>492264.91</v>
      </c>
      <c r="N18" s="11">
        <v>492264.91</v>
      </c>
      <c r="O18" s="11">
        <v>492264.91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</row>
    <row r="19" spans="1:23" ht="27" customHeight="1" x14ac:dyDescent="0.3">
      <c r="A19" s="6" t="s">
        <v>56</v>
      </c>
      <c r="B19" s="7" t="s">
        <v>57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</row>
    <row r="20" spans="1:23" ht="14.25" customHeight="1" x14ac:dyDescent="0.3">
      <c r="A20" s="6" t="s">
        <v>58</v>
      </c>
      <c r="B20" s="7" t="s">
        <v>59</v>
      </c>
      <c r="C20" s="10">
        <v>788830.57</v>
      </c>
      <c r="D20" s="10">
        <v>641541.09</v>
      </c>
      <c r="E20" s="10">
        <v>623483.06000000006</v>
      </c>
      <c r="F20" s="10">
        <v>769988.65</v>
      </c>
      <c r="G20" s="10">
        <v>870729.13</v>
      </c>
      <c r="H20" s="10">
        <v>678505.33</v>
      </c>
      <c r="I20" s="10">
        <v>964375</v>
      </c>
      <c r="J20" s="10">
        <v>964375</v>
      </c>
      <c r="K20" s="11">
        <v>1363000</v>
      </c>
      <c r="L20" s="11">
        <v>2493025</v>
      </c>
      <c r="M20" s="11">
        <v>2289650</v>
      </c>
      <c r="N20" s="11">
        <v>2076275</v>
      </c>
      <c r="O20" s="11">
        <v>1744275</v>
      </c>
      <c r="P20" s="11">
        <v>1299775</v>
      </c>
      <c r="Q20" s="11">
        <v>980525</v>
      </c>
      <c r="R20" s="11">
        <v>818025</v>
      </c>
      <c r="S20" s="11">
        <v>655525</v>
      </c>
      <c r="T20" s="11">
        <v>493025</v>
      </c>
      <c r="U20" s="11">
        <v>330525</v>
      </c>
      <c r="V20" s="11">
        <v>168025</v>
      </c>
      <c r="W20" s="11">
        <v>43388</v>
      </c>
    </row>
    <row r="21" spans="1:23" hidden="1" x14ac:dyDescent="0.3">
      <c r="A21" s="6" t="s">
        <v>60</v>
      </c>
      <c r="B21" s="7" t="s">
        <v>61</v>
      </c>
      <c r="C21" s="10">
        <v>788830.57</v>
      </c>
      <c r="D21" s="10">
        <v>641541.09</v>
      </c>
      <c r="E21" s="10">
        <v>623483.06000000006</v>
      </c>
      <c r="F21" s="10">
        <v>769988.65</v>
      </c>
      <c r="G21" s="10">
        <v>870729.13</v>
      </c>
      <c r="H21" s="10">
        <v>678505.33</v>
      </c>
      <c r="I21" s="10">
        <v>914375</v>
      </c>
      <c r="J21" s="10">
        <v>914375</v>
      </c>
      <c r="K21" s="11">
        <v>1300000</v>
      </c>
      <c r="L21" s="11">
        <v>2493025</v>
      </c>
      <c r="M21" s="11">
        <v>2289650</v>
      </c>
      <c r="N21" s="11">
        <v>2076275</v>
      </c>
      <c r="O21" s="11">
        <v>1744275</v>
      </c>
      <c r="P21" s="11">
        <v>1299775</v>
      </c>
      <c r="Q21" s="11">
        <v>980525</v>
      </c>
      <c r="R21" s="11">
        <v>818025</v>
      </c>
      <c r="S21" s="11">
        <v>655525</v>
      </c>
      <c r="T21" s="11">
        <v>493025</v>
      </c>
      <c r="U21" s="11">
        <v>330525</v>
      </c>
      <c r="V21" s="11">
        <v>168025</v>
      </c>
      <c r="W21" s="11">
        <v>43388</v>
      </c>
    </row>
    <row r="22" spans="1:23" ht="65.7" customHeight="1" x14ac:dyDescent="0.3">
      <c r="A22" s="6" t="s">
        <v>62</v>
      </c>
      <c r="B22" s="7" t="s">
        <v>63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</row>
    <row r="23" spans="1:23" ht="39.9" customHeight="1" x14ac:dyDescent="0.3">
      <c r="A23" s="6" t="s">
        <v>64</v>
      </c>
      <c r="B23" s="7" t="s">
        <v>65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</row>
    <row r="24" spans="1:23" ht="27" customHeight="1" x14ac:dyDescent="0.3">
      <c r="A24" s="6" t="s">
        <v>66</v>
      </c>
      <c r="B24" s="7" t="s">
        <v>67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</row>
    <row r="25" spans="1:23" hidden="1" x14ac:dyDescent="0.3">
      <c r="A25" s="6" t="s">
        <v>68</v>
      </c>
      <c r="B25" s="7" t="s">
        <v>40</v>
      </c>
      <c r="C25" s="8">
        <v>38300989.759999998</v>
      </c>
      <c r="D25" s="8">
        <v>58696625.530000001</v>
      </c>
      <c r="E25" s="8">
        <v>73907155.25</v>
      </c>
      <c r="F25" s="8">
        <v>76857309.870000005</v>
      </c>
      <c r="G25" s="8">
        <v>95562212.25</v>
      </c>
      <c r="H25" s="8">
        <v>111403123.20999999</v>
      </c>
      <c r="I25" s="8">
        <v>112789060.73</v>
      </c>
      <c r="J25" s="8">
        <v>116233956.65000001</v>
      </c>
      <c r="K25" s="9">
        <v>91658974.329999998</v>
      </c>
      <c r="L25" s="9">
        <v>90720337</v>
      </c>
      <c r="M25" s="9">
        <v>91945062</v>
      </c>
      <c r="N25" s="9">
        <v>93669032</v>
      </c>
      <c r="O25" s="9">
        <v>95425326</v>
      </c>
      <c r="P25" s="9">
        <v>97214551</v>
      </c>
      <c r="Q25" s="9">
        <v>99037324</v>
      </c>
      <c r="R25" s="9">
        <v>100894274</v>
      </c>
      <c r="S25" s="9">
        <v>102786042</v>
      </c>
      <c r="T25" s="9">
        <v>104713280</v>
      </c>
      <c r="U25" s="9">
        <v>106676654</v>
      </c>
      <c r="V25" s="9">
        <v>108676841</v>
      </c>
      <c r="W25" s="9">
        <v>110714532</v>
      </c>
    </row>
    <row r="26" spans="1:23" ht="14.25" customHeight="1" x14ac:dyDescent="0.3">
      <c r="A26" s="2" t="s">
        <v>69</v>
      </c>
      <c r="B26" s="3" t="s">
        <v>70</v>
      </c>
      <c r="C26" s="4">
        <f>IF(ISNUMBER(VLOOKUP("2.2.1",A2:W105,3,FALSE)),ROUND(VLOOKUP("2.2.1",A2:W105,3,FALSE),4),0) + IF(ISNUMBER(VLOOKUP("2.2.x",A2:W105,3,FALSE)),ROUND(VLOOKUP("2.2.x",A2:W105,3,FALSE),4),0)</f>
        <v>14882550.789999999</v>
      </c>
      <c r="D26" s="4">
        <f>IF(ISNUMBER(VLOOKUP("2.2.1",A2:W105,4,FALSE)),ROUND(VLOOKUP("2.2.1",A2:W105,4,FALSE),4),0) + IF(ISNUMBER(VLOOKUP("2.2.x",A2:W105,4,FALSE)),ROUND(VLOOKUP("2.2.x",A2:W105,4,FALSE),4),0)</f>
        <v>11350599.119999999</v>
      </c>
      <c r="E26" s="4">
        <f>IF(ISNUMBER(VLOOKUP("2.2.1",A2:W105,5,FALSE)),ROUND(VLOOKUP("2.2.1",A2:W105,5,FALSE),4),0) + IF(ISNUMBER(VLOOKUP("2.2.x",A2:W105,5,FALSE)),ROUND(VLOOKUP("2.2.x",A2:W105,5,FALSE),4),0)</f>
        <v>26922401.760000002</v>
      </c>
      <c r="F26" s="4">
        <f>IF(ISNUMBER(VLOOKUP("2.2.1",A2:W105,6,FALSE)),ROUND(VLOOKUP("2.2.1",A2:W105,6,FALSE),4),0) + IF(ISNUMBER(VLOOKUP("2.2.x",A2:W105,6,FALSE)),ROUND(VLOOKUP("2.2.x",A2:W105,6,FALSE),4),0)</f>
        <v>28112315.190000001</v>
      </c>
      <c r="G26" s="4">
        <f>IF(ISNUMBER(VLOOKUP("2.2.1",A2:W105,7,FALSE)),ROUND(VLOOKUP("2.2.1",A2:W105,7,FALSE),4),0) + IF(ISNUMBER(VLOOKUP("2.2.x",A2:W105,7,FALSE)),ROUND(VLOOKUP("2.2.x",A2:W105,7,FALSE),4),0)</f>
        <v>22421451.449999999</v>
      </c>
      <c r="H26" s="4">
        <f>IF(ISNUMBER(VLOOKUP("2.2.1",A2:W105,8,FALSE)),ROUND(VLOOKUP("2.2.1",A2:W105,8,FALSE),4),0) + IF(ISNUMBER(VLOOKUP("2.2.x",A2:W105,8,FALSE)),ROUND(VLOOKUP("2.2.x",A2:W105,8,FALSE),4),0)</f>
        <v>38663995.700000003</v>
      </c>
      <c r="I26" s="4">
        <f>IF(ISNUMBER(VLOOKUP("2.2.1",A2:W105,9,FALSE)),ROUND(VLOOKUP("2.2.1",A2:W105,9,FALSE),4),0) + IF(ISNUMBER(VLOOKUP("2.2.x",A2:W105,9,FALSE)),ROUND(VLOOKUP("2.2.x",A2:W105,9,FALSE),4),0)</f>
        <v>38640730.240000002</v>
      </c>
      <c r="J26" s="4">
        <f>IF(ISNUMBER(VLOOKUP("2.2.1",A2:W105,10,FALSE)),ROUND(VLOOKUP("2.2.1",A2:W105,10,FALSE),4),0) + IF(ISNUMBER(VLOOKUP("2.2.x",A2:W105,10,FALSE)),ROUND(VLOOKUP("2.2.x",A2:W105,10,FALSE),4),0)</f>
        <v>27723496.350000001</v>
      </c>
      <c r="K26" s="5">
        <f>IF(ISNUMBER(VLOOKUP("2.2.1",A2:W105,11,FALSE)),ROUND(VLOOKUP("2.2.1",A2:W105,11,FALSE),4),0) + IF(ISNUMBER(VLOOKUP("2.2.x",A2:W105,11,FALSE)),ROUND(VLOOKUP("2.2.x",A2:W105,11,FALSE),4),0)</f>
        <v>58888220.210000001</v>
      </c>
      <c r="L26" s="5">
        <f>IF(ISNUMBER(VLOOKUP("2.2.1",A2:W105,12,FALSE)),ROUND(VLOOKUP("2.2.1",A2:W105,12,FALSE),4),0) + IF(ISNUMBER(VLOOKUP("2.2.x",A2:W105,12,FALSE)),ROUND(VLOOKUP("2.2.x",A2:W105,12,FALSE),4),0)</f>
        <v>18566879.09</v>
      </c>
      <c r="M26" s="5">
        <f>IF(ISNUMBER(VLOOKUP("2.2.1",A2:W105,13,FALSE)),ROUND(VLOOKUP("2.2.1",A2:W105,13,FALSE),4),0) + IF(ISNUMBER(VLOOKUP("2.2.x",A2:W105,13,FALSE)),ROUND(VLOOKUP("2.2.x",A2:W105,13,FALSE),4),0)</f>
        <v>4734309.09</v>
      </c>
      <c r="N26" s="5">
        <f>IF(ISNUMBER(VLOOKUP("2.2.1",A2:W105,14,FALSE)),ROUND(VLOOKUP("2.2.1",A2:W105,14,FALSE),4),0) + IF(ISNUMBER(VLOOKUP("2.2.x",A2:W105,14,FALSE)),ROUND(VLOOKUP("2.2.x",A2:W105,14,FALSE),4),0)</f>
        <v>5925353.0899999999</v>
      </c>
      <c r="O26" s="5">
        <f>IF(ISNUMBER(VLOOKUP("2.2.1",A2:W105,15,FALSE)),ROUND(VLOOKUP("2.2.1",A2:W105,15,FALSE),4),0) + IF(ISNUMBER(VLOOKUP("2.2.x",A2:W105,15,FALSE)),ROUND(VLOOKUP("2.2.x",A2:W105,15,FALSE),4),0)</f>
        <v>4964428.09</v>
      </c>
      <c r="P26" s="5">
        <f>IF(ISNUMBER(VLOOKUP("2.2.1",A2:W105,16,FALSE)),ROUND(VLOOKUP("2.2.1",A2:W105,16,FALSE),4),0) + IF(ISNUMBER(VLOOKUP("2.2.x",A2:W105,16,FALSE)),ROUND(VLOOKUP("2.2.x",A2:W105,16,FALSE),4),0)</f>
        <v>6564275</v>
      </c>
      <c r="Q26" s="5">
        <f>IF(ISNUMBER(VLOOKUP("2.2.1",A2:W105,17,FALSE)),ROUND(VLOOKUP("2.2.1",A2:W105,17,FALSE),4),0) + IF(ISNUMBER(VLOOKUP("2.2.x",A2:W105,17,FALSE)),ROUND(VLOOKUP("2.2.x",A2:W105,17,FALSE),4),0)</f>
        <v>12490939</v>
      </c>
      <c r="R26" s="5">
        <f>IF(ISNUMBER(VLOOKUP("2.2.1",A2:W105,18,FALSE)),ROUND(VLOOKUP("2.2.1",A2:W105,18,FALSE),4),0) + IF(ISNUMBER(VLOOKUP("2.2.x",A2:W105,18,FALSE)),ROUND(VLOOKUP("2.2.x",A2:W105,18,FALSE),4),0)</f>
        <v>14559205</v>
      </c>
      <c r="S26" s="5">
        <f>IF(ISNUMBER(VLOOKUP("2.2.1",A2:W105,19,FALSE)),ROUND(VLOOKUP("2.2.1",A2:W105,19,FALSE),4),0) + IF(ISNUMBER(VLOOKUP("2.2.x",A2:W105,19,FALSE)),ROUND(VLOOKUP("2.2.x",A2:W105,19,FALSE),4),0)</f>
        <v>16364645</v>
      </c>
      <c r="T26" s="5">
        <f>IF(ISNUMBER(VLOOKUP("2.2.1",A2:W105,20,FALSE)),ROUND(VLOOKUP("2.2.1",A2:W105,20,FALSE),4),0) + IF(ISNUMBER(VLOOKUP("2.2.x",A2:W105,20,FALSE)),ROUND(VLOOKUP("2.2.x",A2:W105,20,FALSE),4),0)</f>
        <v>18058502</v>
      </c>
      <c r="U26" s="5">
        <f>IF(ISNUMBER(VLOOKUP("2.2.1",A2:W105,21,FALSE)),ROUND(VLOOKUP("2.2.1",A2:W105,21,FALSE),4),0) + IF(ISNUMBER(VLOOKUP("2.2.x",A2:W105,21,FALSE)),ROUND(VLOOKUP("2.2.x",A2:W105,21,FALSE),4),0)</f>
        <v>19627900</v>
      </c>
      <c r="V26" s="5">
        <f>IF(ISNUMBER(VLOOKUP("2.2.1",A2:W105,22,FALSE)),ROUND(VLOOKUP("2.2.1",A2:W105,22,FALSE),4),0) + IF(ISNUMBER(VLOOKUP("2.2.x",A2:W105,22,FALSE)),ROUND(VLOOKUP("2.2.x",A2:W105,22,FALSE),4),0)</f>
        <v>21098841</v>
      </c>
      <c r="W26" s="5">
        <f>IF(ISNUMBER(VLOOKUP("2.2.1",A2:W105,23,FALSE)),ROUND(VLOOKUP("2.2.1",A2:W105,23,FALSE),4),0) + IF(ISNUMBER(VLOOKUP("2.2.x",A2:W105,23,FALSE)),ROUND(VLOOKUP("2.2.x",A2:W105,23,FALSE),4),0)</f>
        <v>24713326</v>
      </c>
    </row>
    <row r="27" spans="1:23" ht="27" customHeight="1" x14ac:dyDescent="0.3">
      <c r="A27" s="6" t="s">
        <v>71</v>
      </c>
      <c r="B27" s="7" t="s">
        <v>72</v>
      </c>
      <c r="C27" s="8">
        <v>14882550.789999999</v>
      </c>
      <c r="D27" s="8">
        <v>11050599.119999999</v>
      </c>
      <c r="E27" s="8">
        <v>26607401.760000002</v>
      </c>
      <c r="F27" s="8">
        <v>27812315.190000001</v>
      </c>
      <c r="G27" s="8">
        <v>18721451.449999999</v>
      </c>
      <c r="H27" s="8">
        <v>38563995.700000003</v>
      </c>
      <c r="I27" s="8">
        <v>38240730.240000002</v>
      </c>
      <c r="J27" s="8">
        <v>27323496.350000001</v>
      </c>
      <c r="K27" s="9">
        <v>58888220.210000001</v>
      </c>
      <c r="L27" s="9">
        <v>18566879.09</v>
      </c>
      <c r="M27" s="9">
        <v>4734309.09</v>
      </c>
      <c r="N27" s="9">
        <v>5925353.0899999999</v>
      </c>
      <c r="O27" s="9">
        <v>4964428.09</v>
      </c>
      <c r="P27" s="9">
        <v>6564275</v>
      </c>
      <c r="Q27" s="9">
        <v>12490939</v>
      </c>
      <c r="R27" s="9">
        <v>14559205</v>
      </c>
      <c r="S27" s="9">
        <v>16364645</v>
      </c>
      <c r="T27" s="9">
        <v>18058502</v>
      </c>
      <c r="U27" s="9">
        <v>19627900</v>
      </c>
      <c r="V27" s="9">
        <v>21098841</v>
      </c>
      <c r="W27" s="9">
        <v>24713326</v>
      </c>
    </row>
    <row r="28" spans="1:23" ht="27" customHeight="1" x14ac:dyDescent="0.3">
      <c r="A28" s="6" t="s">
        <v>73</v>
      </c>
      <c r="B28" s="7" t="s">
        <v>74</v>
      </c>
      <c r="C28" s="8">
        <v>379398.17</v>
      </c>
      <c r="D28" s="8">
        <v>84999.4</v>
      </c>
      <c r="E28" s="8">
        <v>536000</v>
      </c>
      <c r="F28" s="8">
        <v>131916.79999999999</v>
      </c>
      <c r="G28" s="8">
        <v>509433.21</v>
      </c>
      <c r="H28" s="8">
        <v>3357921.58</v>
      </c>
      <c r="I28" s="8">
        <v>1302451.6499999999</v>
      </c>
      <c r="J28" s="8">
        <v>1212451.6499999999</v>
      </c>
      <c r="K28" s="9">
        <v>335000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</row>
    <row r="29" spans="1:23" hidden="1" x14ac:dyDescent="0.3">
      <c r="A29" s="6" t="s">
        <v>75</v>
      </c>
      <c r="B29" s="7" t="s">
        <v>40</v>
      </c>
      <c r="C29" s="8">
        <v>0</v>
      </c>
      <c r="D29" s="8">
        <v>300000</v>
      </c>
      <c r="E29" s="8">
        <v>315000</v>
      </c>
      <c r="F29" s="8">
        <v>300000</v>
      </c>
      <c r="G29" s="8">
        <v>3700000</v>
      </c>
      <c r="H29" s="8">
        <v>100000</v>
      </c>
      <c r="I29" s="8">
        <v>400000</v>
      </c>
      <c r="J29" s="8">
        <v>400000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</row>
    <row r="30" spans="1:23" ht="14.25" customHeight="1" x14ac:dyDescent="0.3">
      <c r="A30" s="2" t="s">
        <v>76</v>
      </c>
      <c r="B30" s="3" t="s">
        <v>77</v>
      </c>
      <c r="C30" s="4">
        <f>IF(ISNUMBER(VLOOKUP("1",A2:W105,3,FALSE)),ROUND(VLOOKUP("1",A2:W105,3,FALSE),4),0) - IF(ISNUMBER(VLOOKUP("2",A2:W105,3,FALSE)),ROUND(VLOOKUP("2",A2:W105,3,FALSE),4),0)</f>
        <v>1699368.3100000024</v>
      </c>
      <c r="D30" s="4">
        <f>IF(ISNUMBER(VLOOKUP("1",A2:W105,4,FALSE)),ROUND(VLOOKUP("1",A2:W105,4,FALSE),4),0) - IF(ISNUMBER(VLOOKUP("2",A2:W105,4,FALSE)),ROUND(VLOOKUP("2",A2:W105,4,FALSE),4),0)</f>
        <v>9979517.7600000054</v>
      </c>
      <c r="E30" s="4">
        <f>IF(ISNUMBER(VLOOKUP("1",A2:W105,5,FALSE)),ROUND(VLOOKUP("1",A2:W105,5,FALSE),4),0) - IF(ISNUMBER(VLOOKUP("2",A2:W105,5,FALSE)),ROUND(VLOOKUP("2",A2:W105,5,FALSE),4),0)</f>
        <v>-10677105.050000012</v>
      </c>
      <c r="F30" s="4">
        <f>IF(ISNUMBER(VLOOKUP("1",A2:W105,6,FALSE)),ROUND(VLOOKUP("1",A2:W105,6,FALSE),4),0) - IF(ISNUMBER(VLOOKUP("2",A2:W105,6,FALSE)),ROUND(VLOOKUP("2",A2:W105,6,FALSE),4),0)</f>
        <v>-2191708.6200000048</v>
      </c>
      <c r="G30" s="4">
        <f>IF(ISNUMBER(VLOOKUP("1",A2:W105,7,FALSE)),ROUND(VLOOKUP("1",A2:W105,7,FALSE),4),0) - IF(ISNUMBER(VLOOKUP("2",A2:W105,7,FALSE)),ROUND(VLOOKUP("2",A2:W105,7,FALSE),4),0)</f>
        <v>3969911.2199999988</v>
      </c>
      <c r="H30" s="4">
        <f>IF(ISNUMBER(VLOOKUP("1",A2:W105,8,FALSE)),ROUND(VLOOKUP("1",A2:W105,8,FALSE),4),0) - IF(ISNUMBER(VLOOKUP("2",A2:W105,8,FALSE)),ROUND(VLOOKUP("2",A2:W105,8,FALSE),4),0)</f>
        <v>-15428341.099999994</v>
      </c>
      <c r="I30" s="4">
        <f>IF(ISNUMBER(VLOOKUP("1",A2:W105,9,FALSE)),ROUND(VLOOKUP("1",A2:W105,9,FALSE),4),0) - IF(ISNUMBER(VLOOKUP("2",A2:W105,9,FALSE)),ROUND(VLOOKUP("2",A2:W105,9,FALSE),4),0)</f>
        <v>-7538133.4599999785</v>
      </c>
      <c r="J30" s="4">
        <f>IF(ISNUMBER(VLOOKUP("1",A2:W105,10,FALSE)),ROUND(VLOOKUP("1",A2:W105,10,FALSE),4),0) - IF(ISNUMBER(VLOOKUP("2",A2:W105,10,FALSE)),ROUND(VLOOKUP("2",A2:W105,10,FALSE),4),0)</f>
        <v>3654842.6599999964</v>
      </c>
      <c r="K30" s="5">
        <f>IF(ISNUMBER(VLOOKUP("1",A2:W105,11,FALSE)),ROUND(VLOOKUP("1",A2:W105,11,FALSE),4),0) - IF(ISNUMBER(VLOOKUP("2",A2:W105,11,FALSE)),ROUND(VLOOKUP("2",A2:W105,11,FALSE),4),0)</f>
        <v>-31170000</v>
      </c>
      <c r="L30" s="5">
        <f>IF(ISNUMBER(VLOOKUP("1",A2:W105,12,FALSE)),ROUND(VLOOKUP("1",A2:W105,12,FALSE),4),0) - IF(ISNUMBER(VLOOKUP("2",A2:W105,12,FALSE)),ROUND(VLOOKUP("2",A2:W105,12,FALSE),4),0)</f>
        <v>4116710</v>
      </c>
      <c r="M30" s="5">
        <f>IF(ISNUMBER(VLOOKUP("1",A2:W105,13,FALSE)),ROUND(VLOOKUP("1",A2:W105,13,FALSE),4),0) - IF(ISNUMBER(VLOOKUP("2",A2:W105,13,FALSE)),ROUND(VLOOKUP("2",A2:W105,13,FALSE),4),0)</f>
        <v>9500000</v>
      </c>
      <c r="N30" s="5">
        <f>IF(ISNUMBER(VLOOKUP("1",A2:W105,14,FALSE)),ROUND(VLOOKUP("1",A2:W105,14,FALSE),4),0) - IF(ISNUMBER(VLOOKUP("2",A2:W105,14,FALSE)),ROUND(VLOOKUP("2",A2:W105,14,FALSE),4),0)</f>
        <v>10500000</v>
      </c>
      <c r="O30" s="5">
        <f>IF(ISNUMBER(VLOOKUP("1",A2:W105,15,FALSE)),ROUND(VLOOKUP("1",A2:W105,15,FALSE),4),0) - IF(ISNUMBER(VLOOKUP("2",A2:W105,15,FALSE)),ROUND(VLOOKUP("2",A2:W105,15,FALSE),4),0)</f>
        <v>7000000</v>
      </c>
      <c r="P30" s="5">
        <f>IF(ISNUMBER(VLOOKUP("1",A2:W105,16,FALSE)),ROUND(VLOOKUP("1",A2:W105,16,FALSE),4),0) - IF(ISNUMBER(VLOOKUP("2",A2:W105,16,FALSE)),ROUND(VLOOKUP("2",A2:W105,16,FALSE),4),0)</f>
        <v>8500000</v>
      </c>
      <c r="Q30" s="5">
        <f>IF(ISNUMBER(VLOOKUP("1",A2:W105,17,FALSE)),ROUND(VLOOKUP("1",A2:W105,17,FALSE),4),0) - IF(ISNUMBER(VLOOKUP("2",A2:W105,17,FALSE)),ROUND(VLOOKUP("2",A2:W105,17,FALSE),4),0)</f>
        <v>5000000</v>
      </c>
      <c r="R30" s="5">
        <f>IF(ISNUMBER(VLOOKUP("1",A2:W105,18,FALSE)),ROUND(VLOOKUP("1",A2:W105,18,FALSE),4),0) - IF(ISNUMBER(VLOOKUP("2",A2:W105,18,FALSE)),ROUND(VLOOKUP("2",A2:W105,18,FALSE),4),0)</f>
        <v>5000000</v>
      </c>
      <c r="S30" s="5">
        <f>IF(ISNUMBER(VLOOKUP("1",A2:W105,19,FALSE)),ROUND(VLOOKUP("1",A2:W105,19,FALSE),4),0) - IF(ISNUMBER(VLOOKUP("2",A2:W105,19,FALSE)),ROUND(VLOOKUP("2",A2:W105,19,FALSE),4),0)</f>
        <v>5000000</v>
      </c>
      <c r="T30" s="5">
        <f>IF(ISNUMBER(VLOOKUP("1",A2:W105,20,FALSE)),ROUND(VLOOKUP("1",A2:W105,20,FALSE),4),0) - IF(ISNUMBER(VLOOKUP("2",A2:W105,20,FALSE)),ROUND(VLOOKUP("2",A2:W105,20,FALSE),4),0)</f>
        <v>5000000</v>
      </c>
      <c r="U30" s="5">
        <f>IF(ISNUMBER(VLOOKUP("1",A2:W105,21,FALSE)),ROUND(VLOOKUP("1",A2:W105,21,FALSE),4),0) - IF(ISNUMBER(VLOOKUP("2",A2:W105,21,FALSE)),ROUND(VLOOKUP("2",A2:W105,21,FALSE),4),0)</f>
        <v>5000000</v>
      </c>
      <c r="V30" s="5">
        <f>IF(ISNUMBER(VLOOKUP("1",A2:W105,22,FALSE)),ROUND(VLOOKUP("1",A2:W105,22,FALSE),4),0) - IF(ISNUMBER(VLOOKUP("2",A2:W105,22,FALSE)),ROUND(VLOOKUP("2",A2:W105,22,FALSE),4),0)</f>
        <v>5000000</v>
      </c>
      <c r="W30" s="5">
        <f>IF(ISNUMBER(VLOOKUP("1",A2:W105,23,FALSE)),ROUND(VLOOKUP("1",A2:W105,23,FALSE),4),0) - IF(ISNUMBER(VLOOKUP("2",A2:W105,23,FALSE)),ROUND(VLOOKUP("2",A2:W105,23,FALSE),4),0)</f>
        <v>2670000</v>
      </c>
    </row>
    <row r="31" spans="1:23" ht="27" customHeight="1" x14ac:dyDescent="0.3">
      <c r="A31" s="6" t="s">
        <v>78</v>
      </c>
      <c r="B31" s="7" t="s">
        <v>79</v>
      </c>
      <c r="C31" s="10">
        <f>IF(IF(ISNUMBER(VLOOKUP("3",A2:W105,3,FALSE)),ROUND(VLOOKUP("3",A2:W105,3,FALSE),4),0)&gt;0,IF(IF(ISNUMBER(VLOOKUP("3",A2:W105,3,FALSE)),ROUND(VLOOKUP("3",A2:W105,3,FALSE),4),0)&gt;IF(ISNUMBER(VLOOKUP("5.1",A2:W105,3,FALSE)),ROUND(VLOOKUP("5.1",A2:W105,3,FALSE),4),0),IF(ISNUMBER(VLOOKUP("5.1",A2:W105,3,FALSE)),ROUND(VLOOKUP("5.1",A2:W105,3,FALSE),4),0),IF(ISNUMBER(VLOOKUP("3",A2:W105,3,FALSE)),ROUND(VLOOKUP("3",A2:W105,3,FALSE),4),0)),0)</f>
        <v>0</v>
      </c>
      <c r="D31" s="10">
        <f>IF(IF(ISNUMBER(VLOOKUP("3",A2:W105,4,FALSE)),ROUND(VLOOKUP("3",A2:W105,4,FALSE),4),0)&gt;0,IF(IF(ISNUMBER(VLOOKUP("3",A2:W105,4,FALSE)),ROUND(VLOOKUP("3",A2:W105,4,FALSE),4),0)&gt;IF(ISNUMBER(VLOOKUP("5.1",A2:W105,4,FALSE)),ROUND(VLOOKUP("5.1",A2:W105,4,FALSE),4),0),IF(ISNUMBER(VLOOKUP("5.1",A2:W105,4,FALSE)),ROUND(VLOOKUP("5.1",A2:W105,4,FALSE),4),0),IF(ISNUMBER(VLOOKUP("3",A2:W105,4,FALSE)),ROUND(VLOOKUP("3",A2:W105,4,FALSE),4),0)),0)</f>
        <v>0</v>
      </c>
      <c r="E31" s="10">
        <f>IF(IF(ISNUMBER(VLOOKUP("3",A2:W105,5,FALSE)),ROUND(VLOOKUP("3",A2:W105,5,FALSE),4),0)&gt;0,IF(IF(ISNUMBER(VLOOKUP("3",A2:W105,5,FALSE)),ROUND(VLOOKUP("3",A2:W105,5,FALSE),4),0)&gt;IF(ISNUMBER(VLOOKUP("5.1",A2:W105,5,FALSE)),ROUND(VLOOKUP("5.1",A2:W105,5,FALSE),4),0),IF(ISNUMBER(VLOOKUP("5.1",A2:W105,5,FALSE)),ROUND(VLOOKUP("5.1",A2:W105,5,FALSE),4),0),IF(ISNUMBER(VLOOKUP("3",A2:W105,5,FALSE)),ROUND(VLOOKUP("3",A2:W105,5,FALSE),4),0)),0)</f>
        <v>0</v>
      </c>
      <c r="F31" s="10">
        <f>IF(IF(ISNUMBER(VLOOKUP("3",A2:W105,6,FALSE)),ROUND(VLOOKUP("3",A2:W105,6,FALSE),4),0)&gt;0,IF(IF(ISNUMBER(VLOOKUP("3",A2:W105,6,FALSE)),ROUND(VLOOKUP("3",A2:W105,6,FALSE),4),0)&gt;IF(ISNUMBER(VLOOKUP("5.1",A2:W105,6,FALSE)),ROUND(VLOOKUP("5.1",A2:W105,6,FALSE),4),0),IF(ISNUMBER(VLOOKUP("5.1",A2:W105,6,FALSE)),ROUND(VLOOKUP("5.1",A2:W105,6,FALSE),4),0),IF(ISNUMBER(VLOOKUP("3",A2:W105,6,FALSE)),ROUND(VLOOKUP("3",A2:W105,6,FALSE),4),0)),0)</f>
        <v>0</v>
      </c>
      <c r="G31" s="10">
        <f>IF(IF(ISNUMBER(VLOOKUP("3",A2:W105,7,FALSE)),ROUND(VLOOKUP("3",A2:W105,7,FALSE),4),0)&gt;0,IF(IF(ISNUMBER(VLOOKUP("3",A2:W105,7,FALSE)),ROUND(VLOOKUP("3",A2:W105,7,FALSE),4),0)&gt;IF(ISNUMBER(VLOOKUP("5.1",A2:W105,7,FALSE)),ROUND(VLOOKUP("5.1",A2:W105,7,FALSE),4),0),IF(ISNUMBER(VLOOKUP("5.1",A2:W105,7,FALSE)),ROUND(VLOOKUP("5.1",A2:W105,7,FALSE),4),0),IF(ISNUMBER(VLOOKUP("3",A2:W105,7,FALSE)),ROUND(VLOOKUP("3",A2:W105,7,FALSE),4),0)),0)</f>
        <v>3969911.22</v>
      </c>
      <c r="H31" s="10">
        <f>IF(IF(ISNUMBER(VLOOKUP("3",A2:W105,8,FALSE)),ROUND(VLOOKUP("3",A2:W105,8,FALSE),4),0)&gt;0,IF(IF(ISNUMBER(VLOOKUP("3",A2:W105,8,FALSE)),ROUND(VLOOKUP("3",A2:W105,8,FALSE),4),0)&gt;IF(ISNUMBER(VLOOKUP("5.1",A2:W105,8,FALSE)),ROUND(VLOOKUP("5.1",A2:W105,8,FALSE),4),0),IF(ISNUMBER(VLOOKUP("5.1",A2:W105,8,FALSE)),ROUND(VLOOKUP("5.1",A2:W105,8,FALSE),4),0),IF(ISNUMBER(VLOOKUP("3",A2:W105,8,FALSE)),ROUND(VLOOKUP("3",A2:W105,8,FALSE),4),0)),0)</f>
        <v>0</v>
      </c>
      <c r="I31" s="10">
        <f>IF(IF(ISNUMBER(VLOOKUP("3",A2:W105,9,FALSE)),ROUND(VLOOKUP("3",A2:W105,9,FALSE),4),0)&gt;0,IF(IF(ISNUMBER(VLOOKUP("3",A2:W105,9,FALSE)),ROUND(VLOOKUP("3",A2:W105,9,FALSE),4),0)&gt;IF(ISNUMBER(VLOOKUP("5.1",A2:W105,9,FALSE)),ROUND(VLOOKUP("5.1",A2:W105,9,FALSE),4),0),IF(ISNUMBER(VLOOKUP("5.1",A2:W105,9,FALSE)),ROUND(VLOOKUP("5.1",A2:W105,9,FALSE),4),0),IF(ISNUMBER(VLOOKUP("3",A2:W105,9,FALSE)),ROUND(VLOOKUP("3",A2:W105,9,FALSE),4),0)),0)</f>
        <v>0</v>
      </c>
      <c r="J31" s="10">
        <f>IF(IF(ISNUMBER(VLOOKUP("3",A2:W105,10,FALSE)),ROUND(VLOOKUP("3",A2:W105,10,FALSE),4),0)&gt;0,IF(IF(ISNUMBER(VLOOKUP("3",A2:W105,10,FALSE)),ROUND(VLOOKUP("3",A2:W105,10,FALSE),4),0)&gt;IF(ISNUMBER(VLOOKUP("5.1",A2:W105,10,FALSE)),ROUND(VLOOKUP("5.1",A2:W105,10,FALSE),4),0),IF(ISNUMBER(VLOOKUP("5.1",A2:W105,10,FALSE)),ROUND(VLOOKUP("5.1",A2:W105,10,FALSE),4),0),IF(ISNUMBER(VLOOKUP("3",A2:W105,10,FALSE)),ROUND(VLOOKUP("3",A2:W105,10,FALSE),4),0)),0)</f>
        <v>3654842.66</v>
      </c>
      <c r="K31" s="11">
        <f>IF(IF(ISNUMBER(VLOOKUP("3",A2:W105,11,FALSE)),ROUND(VLOOKUP("3",A2:W105,11,FALSE),4),0)&gt;0,IF(IF(ISNUMBER(VLOOKUP("3",A2:W105,11,FALSE)),ROUND(VLOOKUP("3",A2:W105,11,FALSE),4),0)&gt;IF(ISNUMBER(VLOOKUP("5.1",A2:W105,11,FALSE)),ROUND(VLOOKUP("5.1",A2:W105,11,FALSE),4),0),IF(ISNUMBER(VLOOKUP("5.1",A2:W105,11,FALSE)),ROUND(VLOOKUP("5.1",A2:W105,11,FALSE),4),0),IF(ISNUMBER(VLOOKUP("3",A2:W105,11,FALSE)),ROUND(VLOOKUP("3",A2:W105,11,FALSE),4),0)),0)</f>
        <v>0</v>
      </c>
      <c r="L31" s="11">
        <f>IF(IF(ISNUMBER(VLOOKUP("3",A2:W105,12,FALSE)),ROUND(VLOOKUP("3",A2:W105,12,FALSE),4),0)&gt;0,IF(IF(ISNUMBER(VLOOKUP("3",A2:W105,12,FALSE)),ROUND(VLOOKUP("3",A2:W105,12,FALSE),4),0)&gt;IF(ISNUMBER(VLOOKUP("5.1",A2:W105,12,FALSE)),ROUND(VLOOKUP("5.1",A2:W105,12,FALSE),4),0),IF(ISNUMBER(VLOOKUP("5.1",A2:W105,12,FALSE)),ROUND(VLOOKUP("5.1",A2:W105,12,FALSE),4),0),IF(ISNUMBER(VLOOKUP("3",A2:W105,12,FALSE)),ROUND(VLOOKUP("3",A2:W105,12,FALSE),4),0)),0)</f>
        <v>4116710</v>
      </c>
      <c r="M31" s="11">
        <f>IF(IF(ISNUMBER(VLOOKUP("3",A2:W105,13,FALSE)),ROUND(VLOOKUP("3",A2:W105,13,FALSE),4),0)&gt;0,IF(IF(ISNUMBER(VLOOKUP("3",A2:W105,13,FALSE)),ROUND(VLOOKUP("3",A2:W105,13,FALSE),4),0)&gt;IF(ISNUMBER(VLOOKUP("5.1",A2:W105,13,FALSE)),ROUND(VLOOKUP("5.1",A2:W105,13,FALSE),4),0),IF(ISNUMBER(VLOOKUP("5.1",A2:W105,13,FALSE)),ROUND(VLOOKUP("5.1",A2:W105,13,FALSE),4),0),IF(ISNUMBER(VLOOKUP("3",A2:W105,13,FALSE)),ROUND(VLOOKUP("3",A2:W105,13,FALSE),4),0)),0)</f>
        <v>9500000</v>
      </c>
      <c r="N31" s="11">
        <f>IF(IF(ISNUMBER(VLOOKUP("3",A2:W105,14,FALSE)),ROUND(VLOOKUP("3",A2:W105,14,FALSE),4),0)&gt;0,IF(IF(ISNUMBER(VLOOKUP("3",A2:W105,14,FALSE)),ROUND(VLOOKUP("3",A2:W105,14,FALSE),4),0)&gt;IF(ISNUMBER(VLOOKUP("5.1",A2:W105,14,FALSE)),ROUND(VLOOKUP("5.1",A2:W105,14,FALSE),4),0),IF(ISNUMBER(VLOOKUP("5.1",A2:W105,14,FALSE)),ROUND(VLOOKUP("5.1",A2:W105,14,FALSE),4),0),IF(ISNUMBER(VLOOKUP("3",A2:W105,14,FALSE)),ROUND(VLOOKUP("3",A2:W105,14,FALSE),4),0)),0)</f>
        <v>10500000</v>
      </c>
      <c r="O31" s="11">
        <f>IF(IF(ISNUMBER(VLOOKUP("3",A2:W105,15,FALSE)),ROUND(VLOOKUP("3",A2:W105,15,FALSE),4),0)&gt;0,IF(IF(ISNUMBER(VLOOKUP("3",A2:W105,15,FALSE)),ROUND(VLOOKUP("3",A2:W105,15,FALSE),4),0)&gt;IF(ISNUMBER(VLOOKUP("5.1",A2:W105,15,FALSE)),ROUND(VLOOKUP("5.1",A2:W105,15,FALSE),4),0),IF(ISNUMBER(VLOOKUP("5.1",A2:W105,15,FALSE)),ROUND(VLOOKUP("5.1",A2:W105,15,FALSE),4),0),IF(ISNUMBER(VLOOKUP("3",A2:W105,15,FALSE)),ROUND(VLOOKUP("3",A2:W105,15,FALSE),4),0)),0)</f>
        <v>7000000</v>
      </c>
      <c r="P31" s="11">
        <f>IF(IF(ISNUMBER(VLOOKUP("3",A2:W105,16,FALSE)),ROUND(VLOOKUP("3",A2:W105,16,FALSE),4),0)&gt;0,IF(IF(ISNUMBER(VLOOKUP("3",A2:W105,16,FALSE)),ROUND(VLOOKUP("3",A2:W105,16,FALSE),4),0)&gt;IF(ISNUMBER(VLOOKUP("5.1",A2:W105,16,FALSE)),ROUND(VLOOKUP("5.1",A2:W105,16,FALSE),4),0),IF(ISNUMBER(VLOOKUP("5.1",A2:W105,16,FALSE)),ROUND(VLOOKUP("5.1",A2:W105,16,FALSE),4),0),IF(ISNUMBER(VLOOKUP("3",A2:W105,16,FALSE)),ROUND(VLOOKUP("3",A2:W105,16,FALSE),4),0)),0)</f>
        <v>8500000</v>
      </c>
      <c r="Q31" s="11">
        <f>IF(IF(ISNUMBER(VLOOKUP("3",A2:W105,17,FALSE)),ROUND(VLOOKUP("3",A2:W105,17,FALSE),4),0)&gt;0,IF(IF(ISNUMBER(VLOOKUP("3",A2:W105,17,FALSE)),ROUND(VLOOKUP("3",A2:W105,17,FALSE),4),0)&gt;IF(ISNUMBER(VLOOKUP("5.1",A2:W105,17,FALSE)),ROUND(VLOOKUP("5.1",A2:W105,17,FALSE),4),0),IF(ISNUMBER(VLOOKUP("5.1",A2:W105,17,FALSE)),ROUND(VLOOKUP("5.1",A2:W105,17,FALSE),4),0),IF(ISNUMBER(VLOOKUP("3",A2:W105,17,FALSE)),ROUND(VLOOKUP("3",A2:W105,17,FALSE),4),0)),0)</f>
        <v>5000000</v>
      </c>
      <c r="R31" s="11">
        <f>IF(IF(ISNUMBER(VLOOKUP("3",A2:W105,18,FALSE)),ROUND(VLOOKUP("3",A2:W105,18,FALSE),4),0)&gt;0,IF(IF(ISNUMBER(VLOOKUP("3",A2:W105,18,FALSE)),ROUND(VLOOKUP("3",A2:W105,18,FALSE),4),0)&gt;IF(ISNUMBER(VLOOKUP("5.1",A2:W105,18,FALSE)),ROUND(VLOOKUP("5.1",A2:W105,18,FALSE),4),0),IF(ISNUMBER(VLOOKUP("5.1",A2:W105,18,FALSE)),ROUND(VLOOKUP("5.1",A2:W105,18,FALSE),4),0),IF(ISNUMBER(VLOOKUP("3",A2:W105,18,FALSE)),ROUND(VLOOKUP("3",A2:W105,18,FALSE),4),0)),0)</f>
        <v>5000000</v>
      </c>
      <c r="S31" s="11">
        <f>IF(IF(ISNUMBER(VLOOKUP("3",A2:W105,19,FALSE)),ROUND(VLOOKUP("3",A2:W105,19,FALSE),4),0)&gt;0,IF(IF(ISNUMBER(VLOOKUP("3",A2:W105,19,FALSE)),ROUND(VLOOKUP("3",A2:W105,19,FALSE),4),0)&gt;IF(ISNUMBER(VLOOKUP("5.1",A2:W105,19,FALSE)),ROUND(VLOOKUP("5.1",A2:W105,19,FALSE),4),0),IF(ISNUMBER(VLOOKUP("5.1",A2:W105,19,FALSE)),ROUND(VLOOKUP("5.1",A2:W105,19,FALSE),4),0),IF(ISNUMBER(VLOOKUP("3",A2:W105,19,FALSE)),ROUND(VLOOKUP("3",A2:W105,19,FALSE),4),0)),0)</f>
        <v>5000000</v>
      </c>
      <c r="T31" s="11">
        <f>IF(IF(ISNUMBER(VLOOKUP("3",A2:W105,20,FALSE)),ROUND(VLOOKUP("3",A2:W105,20,FALSE),4),0)&gt;0,IF(IF(ISNUMBER(VLOOKUP("3",A2:W105,20,FALSE)),ROUND(VLOOKUP("3",A2:W105,20,FALSE),4),0)&gt;IF(ISNUMBER(VLOOKUP("5.1",A2:W105,20,FALSE)),ROUND(VLOOKUP("5.1",A2:W105,20,FALSE),4),0),IF(ISNUMBER(VLOOKUP("5.1",A2:W105,20,FALSE)),ROUND(VLOOKUP("5.1",A2:W105,20,FALSE),4),0),IF(ISNUMBER(VLOOKUP("3",A2:W105,20,FALSE)),ROUND(VLOOKUP("3",A2:W105,20,FALSE),4),0)),0)</f>
        <v>5000000</v>
      </c>
      <c r="U31" s="11">
        <f>IF(IF(ISNUMBER(VLOOKUP("3",A2:W105,21,FALSE)),ROUND(VLOOKUP("3",A2:W105,21,FALSE),4),0)&gt;0,IF(IF(ISNUMBER(VLOOKUP("3",A2:W105,21,FALSE)),ROUND(VLOOKUP("3",A2:W105,21,FALSE),4),0)&gt;IF(ISNUMBER(VLOOKUP("5.1",A2:W105,21,FALSE)),ROUND(VLOOKUP("5.1",A2:W105,21,FALSE),4),0),IF(ISNUMBER(VLOOKUP("5.1",A2:W105,21,FALSE)),ROUND(VLOOKUP("5.1",A2:W105,21,FALSE),4),0),IF(ISNUMBER(VLOOKUP("3",A2:W105,21,FALSE)),ROUND(VLOOKUP("3",A2:W105,21,FALSE),4),0)),0)</f>
        <v>5000000</v>
      </c>
      <c r="V31" s="11">
        <f>IF(IF(ISNUMBER(VLOOKUP("3",A2:W105,22,FALSE)),ROUND(VLOOKUP("3",A2:W105,22,FALSE),4),0)&gt;0,IF(IF(ISNUMBER(VLOOKUP("3",A2:W105,22,FALSE)),ROUND(VLOOKUP("3",A2:W105,22,FALSE),4),0)&gt;IF(ISNUMBER(VLOOKUP("5.1",A2:W105,22,FALSE)),ROUND(VLOOKUP("5.1",A2:W105,22,FALSE),4),0),IF(ISNUMBER(VLOOKUP("5.1",A2:W105,22,FALSE)),ROUND(VLOOKUP("5.1",A2:W105,22,FALSE),4),0),IF(ISNUMBER(VLOOKUP("3",A2:W105,22,FALSE)),ROUND(VLOOKUP("3",A2:W105,22,FALSE),4),0)),0)</f>
        <v>5000000</v>
      </c>
      <c r="W31" s="11">
        <f>IF(IF(ISNUMBER(VLOOKUP("3",A2:W105,23,FALSE)),ROUND(VLOOKUP("3",A2:W105,23,FALSE),4),0)&gt;0,IF(IF(ISNUMBER(VLOOKUP("3",A2:W105,23,FALSE)),ROUND(VLOOKUP("3",A2:W105,23,FALSE),4),0)&gt;IF(ISNUMBER(VLOOKUP("5.1",A2:W105,23,FALSE)),ROUND(VLOOKUP("5.1",A2:W105,23,FALSE),4),0),IF(ISNUMBER(VLOOKUP("5.1",A2:W105,23,FALSE)),ROUND(VLOOKUP("5.1",A2:W105,23,FALSE),4),0),IF(ISNUMBER(VLOOKUP("3",A2:W105,23,FALSE)),ROUND(VLOOKUP("3",A2:W105,23,FALSE),4),0)),0)</f>
        <v>2670000</v>
      </c>
    </row>
    <row r="32" spans="1:23" ht="14.25" customHeight="1" x14ac:dyDescent="0.3">
      <c r="A32" s="2" t="s">
        <v>80</v>
      </c>
      <c r="B32" s="3" t="s">
        <v>81</v>
      </c>
      <c r="C32" s="4">
        <f>IF(ISNUMBER(VLOOKUP("4.1",A2:W105,3,FALSE)),ROUND(VLOOKUP("4.1",A2:W105,3,FALSE),4),0) + IF(ISNUMBER(VLOOKUP("4.2",A2:W105,3,FALSE)),ROUND(VLOOKUP("4.2",A2:W105,3,FALSE),4),0) + IF(ISNUMBER(VLOOKUP("4.3",A2:W105,3,FALSE)),ROUND(VLOOKUP("4.3",A2:W105,3,FALSE),4),0) + IF(ISNUMBER(VLOOKUP("4.4",A2:W105,3,FALSE)),ROUND(VLOOKUP("4.4",A2:W105,3,FALSE),4),0) + IF(ISNUMBER(VLOOKUP("4.5",A2:W105,3,FALSE)),ROUND(VLOOKUP("4.5",A2:W105,3,FALSE),4),0)</f>
        <v>0</v>
      </c>
      <c r="D32" s="4">
        <f>IF(ISNUMBER(VLOOKUP("4.1",A2:W105,4,FALSE)),ROUND(VLOOKUP("4.1",A2:W105,4,FALSE),4),0) + IF(ISNUMBER(VLOOKUP("4.2",A2:W105,4,FALSE)),ROUND(VLOOKUP("4.2",A2:W105,4,FALSE),4),0) + IF(ISNUMBER(VLOOKUP("4.3",A2:W105,4,FALSE)),ROUND(VLOOKUP("4.3",A2:W105,4,FALSE),4),0) + IF(ISNUMBER(VLOOKUP("4.4",A2:W105,4,FALSE)),ROUND(VLOOKUP("4.4",A2:W105,4,FALSE),4),0) + IF(ISNUMBER(VLOOKUP("4.5",A2:W105,4,FALSE)),ROUND(VLOOKUP("4.5",A2:W105,4,FALSE),4),0)</f>
        <v>0</v>
      </c>
      <c r="E32" s="4">
        <f>IF(ISNUMBER(VLOOKUP("4.1",A2:W105,5,FALSE)),ROUND(VLOOKUP("4.1",A2:W105,5,FALSE),4),0) + IF(ISNUMBER(VLOOKUP("4.2",A2:W105,5,FALSE)),ROUND(VLOOKUP("4.2",A2:W105,5,FALSE),4),0) + IF(ISNUMBER(VLOOKUP("4.3",A2:W105,5,FALSE)),ROUND(VLOOKUP("4.3",A2:W105,5,FALSE),4),0) + IF(ISNUMBER(VLOOKUP("4.4",A2:W105,5,FALSE)),ROUND(VLOOKUP("4.4",A2:W105,5,FALSE),4),0) + IF(ISNUMBER(VLOOKUP("4.5",A2:W105,5,FALSE)),ROUND(VLOOKUP("4.5",A2:W105,5,FALSE),4),0)</f>
        <v>0</v>
      </c>
      <c r="F32" s="4">
        <f>IF(ISNUMBER(VLOOKUP("4.1",A2:W105,6,FALSE)),ROUND(VLOOKUP("4.1",A2:W105,6,FALSE),4),0) + IF(ISNUMBER(VLOOKUP("4.2",A2:W105,6,FALSE)),ROUND(VLOOKUP("4.2",A2:W105,6,FALSE),4),0) + IF(ISNUMBER(VLOOKUP("4.3",A2:W105,6,FALSE)),ROUND(VLOOKUP("4.3",A2:W105,6,FALSE),4),0) + IF(ISNUMBER(VLOOKUP("4.4",A2:W105,6,FALSE)),ROUND(VLOOKUP("4.4",A2:W105,6,FALSE),4),0) + IF(ISNUMBER(VLOOKUP("4.5",A2:W105,6,FALSE)),ROUND(VLOOKUP("4.5",A2:W105,6,FALSE),4),0)</f>
        <v>17921027.66</v>
      </c>
      <c r="G32" s="4">
        <f>IF(ISNUMBER(VLOOKUP("4.1",A2:W105,7,FALSE)),ROUND(VLOOKUP("4.1",A2:W105,7,FALSE),4),0) + IF(ISNUMBER(VLOOKUP("4.2",A2:W105,7,FALSE)),ROUND(VLOOKUP("4.2",A2:W105,7,FALSE),4),0) + IF(ISNUMBER(VLOOKUP("4.3",A2:W105,7,FALSE)),ROUND(VLOOKUP("4.3",A2:W105,7,FALSE),4),0) + IF(ISNUMBER(VLOOKUP("4.4",A2:W105,7,FALSE)),ROUND(VLOOKUP("4.4",A2:W105,7,FALSE),4),0) + IF(ISNUMBER(VLOOKUP("4.5",A2:W105,7,FALSE)),ROUND(VLOOKUP("4.5",A2:W105,7,FALSE),4),0)</f>
        <v>16953020.990000002</v>
      </c>
      <c r="H32" s="4">
        <f>IF(ISNUMBER(VLOOKUP("4.1",A2:W105,8,FALSE)),ROUND(VLOOKUP("4.1",A2:W105,8,FALSE),4),0) + IF(ISNUMBER(VLOOKUP("4.2",A2:W105,8,FALSE)),ROUND(VLOOKUP("4.2",A2:W105,8,FALSE),4),0) + IF(ISNUMBER(VLOOKUP("4.3",A2:W105,8,FALSE)),ROUND(VLOOKUP("4.3",A2:W105,8,FALSE),4),0) + IF(ISNUMBER(VLOOKUP("4.4",A2:W105,8,FALSE)),ROUND(VLOOKUP("4.4",A2:W105,8,FALSE),4),0) + IF(ISNUMBER(VLOOKUP("4.5",A2:W105,8,FALSE)),ROUND(VLOOKUP("4.5",A2:W105,8,FALSE),4),0)</f>
        <v>32668381.140000001</v>
      </c>
      <c r="I32" s="4">
        <f>IF(ISNUMBER(VLOOKUP("4.1",A2:W105,9,FALSE)),ROUND(VLOOKUP("4.1",A2:W105,9,FALSE),4),0) + IF(ISNUMBER(VLOOKUP("4.2",A2:W105,9,FALSE)),ROUND(VLOOKUP("4.2",A2:W105,9,FALSE),4),0) + IF(ISNUMBER(VLOOKUP("4.3",A2:W105,9,FALSE)),ROUND(VLOOKUP("4.3",A2:W105,9,FALSE),4),0) + IF(ISNUMBER(VLOOKUP("4.4",A2:W105,9,FALSE)),ROUND(VLOOKUP("4.4",A2:W105,9,FALSE),4),0) + IF(ISNUMBER(VLOOKUP("4.5",A2:W105,9,FALSE)),ROUND(VLOOKUP("4.5",A2:W105,9,FALSE),4),0)</f>
        <v>17038133.460000001</v>
      </c>
      <c r="J32" s="4">
        <f>IF(ISNUMBER(VLOOKUP("4.1",A2:W105,10,FALSE)),ROUND(VLOOKUP("4.1",A2:W105,10,FALSE),4),0) + IF(ISNUMBER(VLOOKUP("4.2",A2:W105,10,FALSE)),ROUND(VLOOKUP("4.2",A2:W105,10,FALSE),4),0) + IF(ISNUMBER(VLOOKUP("4.3",A2:W105,10,FALSE)),ROUND(VLOOKUP("4.3",A2:W105,10,FALSE),4),0) + IF(ISNUMBER(VLOOKUP("4.4",A2:W105,10,FALSE)),ROUND(VLOOKUP("4.4",A2:W105,10,FALSE),4),0) + IF(ISNUMBER(VLOOKUP("4.5",A2:W105,10,FALSE)),ROUND(VLOOKUP("4.5",A2:W105,10,FALSE),4),0)</f>
        <v>13052783.34</v>
      </c>
      <c r="K32" s="5">
        <f>IF(ISNUMBER(VLOOKUP("4.1",A2:W105,11,FALSE)),ROUND(VLOOKUP("4.1",A2:W105,11,FALSE),4),0) + IF(ISNUMBER(VLOOKUP("4.2",A2:W105,11,FALSE)),ROUND(VLOOKUP("4.2",A2:W105,11,FALSE),4),0) + IF(ISNUMBER(VLOOKUP("4.3",A2:W105,11,FALSE)),ROUND(VLOOKUP("4.3",A2:W105,11,FALSE),4),0) + IF(ISNUMBER(VLOOKUP("4.4",A2:W105,11,FALSE)),ROUND(VLOOKUP("4.4",A2:W105,11,FALSE),4),0) + IF(ISNUMBER(VLOOKUP("4.5",A2:W105,11,FALSE)),ROUND(VLOOKUP("4.5",A2:W105,11,FALSE),4),0)</f>
        <v>40170000</v>
      </c>
      <c r="L32" s="5">
        <f>IF(ISNUMBER(VLOOKUP("4.1",A2:W105,12,FALSE)),ROUND(VLOOKUP("4.1",A2:W105,12,FALSE),4),0) + IF(ISNUMBER(VLOOKUP("4.2",A2:W105,12,FALSE)),ROUND(VLOOKUP("4.2",A2:W105,12,FALSE),4),0) + IF(ISNUMBER(VLOOKUP("4.3",A2:W105,12,FALSE)),ROUND(VLOOKUP("4.3",A2:W105,12,FALSE),4),0) + IF(ISNUMBER(VLOOKUP("4.4",A2:W105,12,FALSE)),ROUND(VLOOKUP("4.4",A2:W105,12,FALSE),4),0) + IF(ISNUMBER(VLOOKUP("4.5",A2:W105,12,FALSE)),ROUND(VLOOKUP("4.5",A2:W105,12,FALSE),4),0)</f>
        <v>2000000</v>
      </c>
      <c r="M32" s="5">
        <f>IF(ISNUMBER(VLOOKUP("4.1",A2:W105,13,FALSE)),ROUND(VLOOKUP("4.1",A2:W105,13,FALSE),4),0) + IF(ISNUMBER(VLOOKUP("4.2",A2:W105,13,FALSE)),ROUND(VLOOKUP("4.2",A2:W105,13,FALSE),4),0) + IF(ISNUMBER(VLOOKUP("4.3",A2:W105,13,FALSE)),ROUND(VLOOKUP("4.3",A2:W105,13,FALSE),4),0) + IF(ISNUMBER(VLOOKUP("4.4",A2:W105,13,FALSE)),ROUND(VLOOKUP("4.4",A2:W105,13,FALSE),4),0) + IF(ISNUMBER(VLOOKUP("4.5",A2:W105,13,FALSE)),ROUND(VLOOKUP("4.5",A2:W105,13,FALSE),4),0)</f>
        <v>0</v>
      </c>
      <c r="N32" s="5">
        <f>IF(ISNUMBER(VLOOKUP("4.1",A2:W105,14,FALSE)),ROUND(VLOOKUP("4.1",A2:W105,14,FALSE),4),0) + IF(ISNUMBER(VLOOKUP("4.2",A2:W105,14,FALSE)),ROUND(VLOOKUP("4.2",A2:W105,14,FALSE),4),0) + IF(ISNUMBER(VLOOKUP("4.3",A2:W105,14,FALSE)),ROUND(VLOOKUP("4.3",A2:W105,14,FALSE),4),0) + IF(ISNUMBER(VLOOKUP("4.4",A2:W105,14,FALSE)),ROUND(VLOOKUP("4.4",A2:W105,14,FALSE),4),0) + IF(ISNUMBER(VLOOKUP("4.5",A2:W105,14,FALSE)),ROUND(VLOOKUP("4.5",A2:W105,14,FALSE),4),0)</f>
        <v>0</v>
      </c>
      <c r="O32" s="5">
        <f>IF(ISNUMBER(VLOOKUP("4.1",A2:W105,15,FALSE)),ROUND(VLOOKUP("4.1",A2:W105,15,FALSE),4),0) + IF(ISNUMBER(VLOOKUP("4.2",A2:W105,15,FALSE)),ROUND(VLOOKUP("4.2",A2:W105,15,FALSE),4),0) + IF(ISNUMBER(VLOOKUP("4.3",A2:W105,15,FALSE)),ROUND(VLOOKUP("4.3",A2:W105,15,FALSE),4),0) + IF(ISNUMBER(VLOOKUP("4.4",A2:W105,15,FALSE)),ROUND(VLOOKUP("4.4",A2:W105,15,FALSE),4),0) + IF(ISNUMBER(VLOOKUP("4.5",A2:W105,15,FALSE)),ROUND(VLOOKUP("4.5",A2:W105,15,FALSE),4),0)</f>
        <v>0</v>
      </c>
      <c r="P32" s="5">
        <f>IF(ISNUMBER(VLOOKUP("4.1",A2:W105,16,FALSE)),ROUND(VLOOKUP("4.1",A2:W105,16,FALSE),4),0) + IF(ISNUMBER(VLOOKUP("4.2",A2:W105,16,FALSE)),ROUND(VLOOKUP("4.2",A2:W105,16,FALSE),4),0) + IF(ISNUMBER(VLOOKUP("4.3",A2:W105,16,FALSE)),ROUND(VLOOKUP("4.3",A2:W105,16,FALSE),4),0) + IF(ISNUMBER(VLOOKUP("4.4",A2:W105,16,FALSE)),ROUND(VLOOKUP("4.4",A2:W105,16,FALSE),4),0) + IF(ISNUMBER(VLOOKUP("4.5",A2:W105,16,FALSE)),ROUND(VLOOKUP("4.5",A2:W105,16,FALSE),4),0)</f>
        <v>0</v>
      </c>
      <c r="Q32" s="5">
        <f>IF(ISNUMBER(VLOOKUP("4.1",A2:W105,17,FALSE)),ROUND(VLOOKUP("4.1",A2:W105,17,FALSE),4),0) + IF(ISNUMBER(VLOOKUP("4.2",A2:W105,17,FALSE)),ROUND(VLOOKUP("4.2",A2:W105,17,FALSE),4),0) + IF(ISNUMBER(VLOOKUP("4.3",A2:W105,17,FALSE)),ROUND(VLOOKUP("4.3",A2:W105,17,FALSE),4),0) + IF(ISNUMBER(VLOOKUP("4.4",A2:W105,17,FALSE)),ROUND(VLOOKUP("4.4",A2:W105,17,FALSE),4),0) + IF(ISNUMBER(VLOOKUP("4.5",A2:W105,17,FALSE)),ROUND(VLOOKUP("4.5",A2:W105,17,FALSE),4),0)</f>
        <v>0</v>
      </c>
      <c r="R32" s="5">
        <f>IF(ISNUMBER(VLOOKUP("4.1",A2:W105,18,FALSE)),ROUND(VLOOKUP("4.1",A2:W105,18,FALSE),4),0) + IF(ISNUMBER(VLOOKUP("4.2",A2:W105,18,FALSE)),ROUND(VLOOKUP("4.2",A2:W105,18,FALSE),4),0) + IF(ISNUMBER(VLOOKUP("4.3",A2:W105,18,FALSE)),ROUND(VLOOKUP("4.3",A2:W105,18,FALSE),4),0) + IF(ISNUMBER(VLOOKUP("4.4",A2:W105,18,FALSE)),ROUND(VLOOKUP("4.4",A2:W105,18,FALSE),4),0) + IF(ISNUMBER(VLOOKUP("4.5",A2:W105,18,FALSE)),ROUND(VLOOKUP("4.5",A2:W105,18,FALSE),4),0)</f>
        <v>0</v>
      </c>
      <c r="S32" s="5">
        <f>IF(ISNUMBER(VLOOKUP("4.1",A2:W105,19,FALSE)),ROUND(VLOOKUP("4.1",A2:W105,19,FALSE),4),0) + IF(ISNUMBER(VLOOKUP("4.2",A2:W105,19,FALSE)),ROUND(VLOOKUP("4.2",A2:W105,19,FALSE),4),0) + IF(ISNUMBER(VLOOKUP("4.3",A2:W105,19,FALSE)),ROUND(VLOOKUP("4.3",A2:W105,19,FALSE),4),0) + IF(ISNUMBER(VLOOKUP("4.4",A2:W105,19,FALSE)),ROUND(VLOOKUP("4.4",A2:W105,19,FALSE),4),0) + IF(ISNUMBER(VLOOKUP("4.5",A2:W105,19,FALSE)),ROUND(VLOOKUP("4.5",A2:W105,19,FALSE),4),0)</f>
        <v>0</v>
      </c>
      <c r="T32" s="5">
        <f>IF(ISNUMBER(VLOOKUP("4.1",A2:W105,20,FALSE)),ROUND(VLOOKUP("4.1",A2:W105,20,FALSE),4),0) + IF(ISNUMBER(VLOOKUP("4.2",A2:W105,20,FALSE)),ROUND(VLOOKUP("4.2",A2:W105,20,FALSE),4),0) + IF(ISNUMBER(VLOOKUP("4.3",A2:W105,20,FALSE)),ROUND(VLOOKUP("4.3",A2:W105,20,FALSE),4),0) + IF(ISNUMBER(VLOOKUP("4.4",A2:W105,20,FALSE)),ROUND(VLOOKUP("4.4",A2:W105,20,FALSE),4),0) + IF(ISNUMBER(VLOOKUP("4.5",A2:W105,20,FALSE)),ROUND(VLOOKUP("4.5",A2:W105,20,FALSE),4),0)</f>
        <v>0</v>
      </c>
      <c r="U32" s="5">
        <f>IF(ISNUMBER(VLOOKUP("4.1",A2:W105,21,FALSE)),ROUND(VLOOKUP("4.1",A2:W105,21,FALSE),4),0) + IF(ISNUMBER(VLOOKUP("4.2",A2:W105,21,FALSE)),ROUND(VLOOKUP("4.2",A2:W105,21,FALSE),4),0) + IF(ISNUMBER(VLOOKUP("4.3",A2:W105,21,FALSE)),ROUND(VLOOKUP("4.3",A2:W105,21,FALSE),4),0) + IF(ISNUMBER(VLOOKUP("4.4",A2:W105,21,FALSE)),ROUND(VLOOKUP("4.4",A2:W105,21,FALSE),4),0) + IF(ISNUMBER(VLOOKUP("4.5",A2:W105,21,FALSE)),ROUND(VLOOKUP("4.5",A2:W105,21,FALSE),4),0)</f>
        <v>0</v>
      </c>
      <c r="V32" s="5">
        <f>IF(ISNUMBER(VLOOKUP("4.1",A2:W105,22,FALSE)),ROUND(VLOOKUP("4.1",A2:W105,22,FALSE),4),0) + IF(ISNUMBER(VLOOKUP("4.2",A2:W105,22,FALSE)),ROUND(VLOOKUP("4.2",A2:W105,22,FALSE),4),0) + IF(ISNUMBER(VLOOKUP("4.3",A2:W105,22,FALSE)),ROUND(VLOOKUP("4.3",A2:W105,22,FALSE),4),0) + IF(ISNUMBER(VLOOKUP("4.4",A2:W105,22,FALSE)),ROUND(VLOOKUP("4.4",A2:W105,22,FALSE),4),0) + IF(ISNUMBER(VLOOKUP("4.5",A2:W105,22,FALSE)),ROUND(VLOOKUP("4.5",A2:W105,22,FALSE),4),0)</f>
        <v>0</v>
      </c>
      <c r="W32" s="5">
        <f>IF(ISNUMBER(VLOOKUP("4.1",A2:W105,23,FALSE)),ROUND(VLOOKUP("4.1",A2:W105,23,FALSE),4),0) + IF(ISNUMBER(VLOOKUP("4.2",A2:W105,23,FALSE)),ROUND(VLOOKUP("4.2",A2:W105,23,FALSE),4),0) + IF(ISNUMBER(VLOOKUP("4.3",A2:W105,23,FALSE)),ROUND(VLOOKUP("4.3",A2:W105,23,FALSE),4),0) + IF(ISNUMBER(VLOOKUP("4.4",A2:W105,23,FALSE)),ROUND(VLOOKUP("4.4",A2:W105,23,FALSE),4),0) + IF(ISNUMBER(VLOOKUP("4.5",A2:W105,23,FALSE)),ROUND(VLOOKUP("4.5",A2:W105,23,FALSE),4),0)</f>
        <v>0</v>
      </c>
    </row>
    <row r="33" spans="1:23" ht="14.25" customHeight="1" x14ac:dyDescent="0.3">
      <c r="A33" s="2" t="s">
        <v>82</v>
      </c>
      <c r="B33" s="3" t="s">
        <v>83</v>
      </c>
      <c r="C33" s="4">
        <v>0</v>
      </c>
      <c r="D33" s="4">
        <v>0</v>
      </c>
      <c r="E33" s="4">
        <v>0</v>
      </c>
      <c r="F33" s="4">
        <v>10000000</v>
      </c>
      <c r="G33" s="4">
        <v>6000000</v>
      </c>
      <c r="H33" s="4">
        <v>19000000</v>
      </c>
      <c r="I33" s="4">
        <v>12500000</v>
      </c>
      <c r="J33" s="4">
        <v>7000000</v>
      </c>
      <c r="K33" s="5">
        <v>40170000</v>
      </c>
      <c r="L33" s="5">
        <v>2000000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4.25" customHeight="1" x14ac:dyDescent="0.3">
      <c r="A34" s="6" t="s">
        <v>84</v>
      </c>
      <c r="B34" s="7" t="s">
        <v>85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1759959.96</v>
      </c>
      <c r="I34" s="10">
        <v>3000000</v>
      </c>
      <c r="J34" s="10">
        <v>0</v>
      </c>
      <c r="K34" s="11">
        <v>31170000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</row>
    <row r="35" spans="1:23" ht="14.25" customHeight="1" x14ac:dyDescent="0.3">
      <c r="A35" s="2" t="s">
        <v>86</v>
      </c>
      <c r="B35" s="3" t="s">
        <v>87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</row>
    <row r="36" spans="1:23" ht="14.25" customHeight="1" x14ac:dyDescent="0.3">
      <c r="A36" s="6" t="s">
        <v>88</v>
      </c>
      <c r="B36" s="7" t="s">
        <v>85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</row>
    <row r="37" spans="1:23" ht="27" customHeight="1" x14ac:dyDescent="0.3">
      <c r="A37" s="6" t="s">
        <v>89</v>
      </c>
      <c r="B37" s="7" t="s">
        <v>90</v>
      </c>
      <c r="C37" s="8">
        <v>0</v>
      </c>
      <c r="D37" s="8">
        <v>0</v>
      </c>
      <c r="E37" s="8">
        <v>0</v>
      </c>
      <c r="F37" s="8">
        <v>7921027.6600000001</v>
      </c>
      <c r="G37" s="8">
        <v>10953020.99</v>
      </c>
      <c r="H37" s="8">
        <v>13668381.140000001</v>
      </c>
      <c r="I37" s="8">
        <v>4538133.46</v>
      </c>
      <c r="J37" s="8">
        <v>6052783.3399999999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</row>
    <row r="38" spans="1:23" ht="14.25" customHeight="1" x14ac:dyDescent="0.3">
      <c r="A38" s="6" t="s">
        <v>91</v>
      </c>
      <c r="B38" s="7" t="s">
        <v>85</v>
      </c>
      <c r="C38" s="10">
        <v>0</v>
      </c>
      <c r="D38" s="10">
        <v>0</v>
      </c>
      <c r="E38" s="10">
        <v>0</v>
      </c>
      <c r="F38" s="10">
        <v>2191708.62</v>
      </c>
      <c r="G38" s="10">
        <v>0</v>
      </c>
      <c r="H38" s="10">
        <v>13668381.140000001</v>
      </c>
      <c r="I38" s="10">
        <v>4538133.46</v>
      </c>
      <c r="J38" s="10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</row>
    <row r="39" spans="1:23" ht="14.25" customHeight="1" x14ac:dyDescent="0.3">
      <c r="A39" s="6" t="s">
        <v>92</v>
      </c>
      <c r="B39" s="7" t="s">
        <v>93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</row>
    <row r="40" spans="1:23" ht="14.25" customHeight="1" x14ac:dyDescent="0.3">
      <c r="A40" s="6" t="s">
        <v>94</v>
      </c>
      <c r="B40" s="7" t="s">
        <v>85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</row>
    <row r="41" spans="1:23" ht="14.25" customHeight="1" x14ac:dyDescent="0.3">
      <c r="A41" s="2" t="s">
        <v>95</v>
      </c>
      <c r="B41" s="3" t="s">
        <v>96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</row>
    <row r="42" spans="1:23" ht="14.25" customHeight="1" x14ac:dyDescent="0.3">
      <c r="A42" s="6" t="s">
        <v>97</v>
      </c>
      <c r="B42" s="7" t="s">
        <v>85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</row>
    <row r="43" spans="1:23" ht="14.25" customHeight="1" x14ac:dyDescent="0.3">
      <c r="A43" s="2" t="s">
        <v>98</v>
      </c>
      <c r="B43" s="3" t="s">
        <v>99</v>
      </c>
      <c r="C43" s="4">
        <f>IF(ISNUMBER(VLOOKUP("5.1",A2:W105,3,FALSE)),ROUND(VLOOKUP("5.1",A2:W105,3,FALSE),4),0) + IF(ISNUMBER(VLOOKUP("5.2",A2:W105,3,FALSE)),ROUND(VLOOKUP("5.2",A2:W105,3,FALSE),4),0)</f>
        <v>0</v>
      </c>
      <c r="D43" s="4">
        <f>IF(ISNUMBER(VLOOKUP("5.1",A2:W105,4,FALSE)),ROUND(VLOOKUP("5.1",A2:W105,4,FALSE),4),0) + IF(ISNUMBER(VLOOKUP("5.2",A2:W105,4,FALSE)),ROUND(VLOOKUP("5.2",A2:W105,4,FALSE),4),0)</f>
        <v>0</v>
      </c>
      <c r="E43" s="4">
        <f>IF(ISNUMBER(VLOOKUP("5.1",A2:W105,5,FALSE)),ROUND(VLOOKUP("5.1",A2:W105,5,FALSE),4),0) + IF(ISNUMBER(VLOOKUP("5.2",A2:W105,5,FALSE)),ROUND(VLOOKUP("5.2",A2:W105,5,FALSE),4),0)</f>
        <v>0</v>
      </c>
      <c r="F43" s="4">
        <f>IF(ISNUMBER(VLOOKUP("5.1",A2:W105,6,FALSE)),ROUND(VLOOKUP("5.1",A2:W105,6,FALSE),4),0) + IF(ISNUMBER(VLOOKUP("5.2",A2:W105,6,FALSE)),ROUND(VLOOKUP("5.2",A2:W105,6,FALSE),4),0)</f>
        <v>4776298.05</v>
      </c>
      <c r="G43" s="4">
        <f>IF(ISNUMBER(VLOOKUP("5.1",A2:W105,7,FALSE)),ROUND(VLOOKUP("5.1",A2:W105,7,FALSE),4),0) + IF(ISNUMBER(VLOOKUP("5.2",A2:W105,7,FALSE)),ROUND(VLOOKUP("5.2",A2:W105,7,FALSE),4),0)</f>
        <v>7254551.0700000003</v>
      </c>
      <c r="H43" s="4">
        <f>IF(ISNUMBER(VLOOKUP("5.1",A2:W105,8,FALSE)),ROUND(VLOOKUP("5.1",A2:W105,8,FALSE),4),0) + IF(ISNUMBER(VLOOKUP("5.2",A2:W105,8,FALSE)),ROUND(VLOOKUP("5.2",A2:W105,8,FALSE),4),0)</f>
        <v>8194519.2999999998</v>
      </c>
      <c r="I43" s="4">
        <f>IF(ISNUMBER(VLOOKUP("5.1",A2:W105,9,FALSE)),ROUND(VLOOKUP("5.1",A2:W105,9,FALSE),4),0) + IF(ISNUMBER(VLOOKUP("5.2",A2:W105,9,FALSE)),ROUND(VLOOKUP("5.2",A2:W105,9,FALSE),4),0)</f>
        <v>9500000</v>
      </c>
      <c r="J43" s="4">
        <f>IF(ISNUMBER(VLOOKUP("5.1",A2:W105,10,FALSE)),ROUND(VLOOKUP("5.1",A2:W105,10,FALSE),4),0) + IF(ISNUMBER(VLOOKUP("5.2",A2:W105,10,FALSE)),ROUND(VLOOKUP("5.2",A2:W105,10,FALSE),4),0)</f>
        <v>16707626</v>
      </c>
      <c r="K43" s="5">
        <f>IF(ISNUMBER(VLOOKUP("5.1",A2:W105,11,FALSE)),ROUND(VLOOKUP("5.1",A2:W105,11,FALSE),4),0) + IF(ISNUMBER(VLOOKUP("5.2",A2:W105,11,FALSE)),ROUND(VLOOKUP("5.2",A2:W105,11,FALSE),4),0)</f>
        <v>9000000</v>
      </c>
      <c r="L43" s="5">
        <f>IF(ISNUMBER(VLOOKUP("5.1",A2:W105,12,FALSE)),ROUND(VLOOKUP("5.1",A2:W105,12,FALSE),4),0) + IF(ISNUMBER(VLOOKUP("5.2",A2:W105,12,FALSE)),ROUND(VLOOKUP("5.2",A2:W105,12,FALSE),4),0)</f>
        <v>6116710</v>
      </c>
      <c r="M43" s="5">
        <f>IF(ISNUMBER(VLOOKUP("5.1",A2:W105,13,FALSE)),ROUND(VLOOKUP("5.1",A2:W105,13,FALSE),4),0) + IF(ISNUMBER(VLOOKUP("5.2",A2:W105,13,FALSE)),ROUND(VLOOKUP("5.2",A2:W105,13,FALSE),4),0)</f>
        <v>9500000</v>
      </c>
      <c r="N43" s="5">
        <f>IF(ISNUMBER(VLOOKUP("5.1",A2:W105,14,FALSE)),ROUND(VLOOKUP("5.1",A2:W105,14,FALSE),4),0) + IF(ISNUMBER(VLOOKUP("5.2",A2:W105,14,FALSE)),ROUND(VLOOKUP("5.2",A2:W105,14,FALSE),4),0)</f>
        <v>10500000</v>
      </c>
      <c r="O43" s="5">
        <f>IF(ISNUMBER(VLOOKUP("5.1",A2:W105,15,FALSE)),ROUND(VLOOKUP("5.1",A2:W105,15,FALSE),4),0) + IF(ISNUMBER(VLOOKUP("5.2",A2:W105,15,FALSE)),ROUND(VLOOKUP("5.2",A2:W105,15,FALSE),4),0)</f>
        <v>7000000</v>
      </c>
      <c r="P43" s="5">
        <f>IF(ISNUMBER(VLOOKUP("5.1",A2:W105,16,FALSE)),ROUND(VLOOKUP("5.1",A2:W105,16,FALSE),4),0) + IF(ISNUMBER(VLOOKUP("5.2",A2:W105,16,FALSE)),ROUND(VLOOKUP("5.2",A2:W105,16,FALSE),4),0)</f>
        <v>8500000</v>
      </c>
      <c r="Q43" s="5">
        <f>IF(ISNUMBER(VLOOKUP("5.1",A2:W105,17,FALSE)),ROUND(VLOOKUP("5.1",A2:W105,17,FALSE),4),0) + IF(ISNUMBER(VLOOKUP("5.2",A2:W105,17,FALSE)),ROUND(VLOOKUP("5.2",A2:W105,17,FALSE),4),0)</f>
        <v>5000000</v>
      </c>
      <c r="R43" s="5">
        <f>IF(ISNUMBER(VLOOKUP("5.1",A2:W105,18,FALSE)),ROUND(VLOOKUP("5.1",A2:W105,18,FALSE),4),0) + IF(ISNUMBER(VLOOKUP("5.2",A2:W105,18,FALSE)),ROUND(VLOOKUP("5.2",A2:W105,18,FALSE),4),0)</f>
        <v>5000000</v>
      </c>
      <c r="S43" s="5">
        <f>IF(ISNUMBER(VLOOKUP("5.1",A2:W105,19,FALSE)),ROUND(VLOOKUP("5.1",A2:W105,19,FALSE),4),0) + IF(ISNUMBER(VLOOKUP("5.2",A2:W105,19,FALSE)),ROUND(VLOOKUP("5.2",A2:W105,19,FALSE),4),0)</f>
        <v>5000000</v>
      </c>
      <c r="T43" s="5">
        <f>IF(ISNUMBER(VLOOKUP("5.1",A2:W105,20,FALSE)),ROUND(VLOOKUP("5.1",A2:W105,20,FALSE),4),0) + IF(ISNUMBER(VLOOKUP("5.2",A2:W105,20,FALSE)),ROUND(VLOOKUP("5.2",A2:W105,20,FALSE),4),0)</f>
        <v>5000000</v>
      </c>
      <c r="U43" s="5">
        <f>IF(ISNUMBER(VLOOKUP("5.1",A2:W105,21,FALSE)),ROUND(VLOOKUP("5.1",A2:W105,21,FALSE),4),0) + IF(ISNUMBER(VLOOKUP("5.2",A2:W105,21,FALSE)),ROUND(VLOOKUP("5.2",A2:W105,21,FALSE),4),0)</f>
        <v>5000000</v>
      </c>
      <c r="V43" s="5">
        <f>IF(ISNUMBER(VLOOKUP("5.1",A2:W105,22,FALSE)),ROUND(VLOOKUP("5.1",A2:W105,22,FALSE),4),0) + IF(ISNUMBER(VLOOKUP("5.2",A2:W105,22,FALSE)),ROUND(VLOOKUP("5.2",A2:W105,22,FALSE),4),0)</f>
        <v>5000000</v>
      </c>
      <c r="W43" s="5">
        <f>IF(ISNUMBER(VLOOKUP("5.1",A2:W105,23,FALSE)),ROUND(VLOOKUP("5.1",A2:W105,23,FALSE),4),0) + IF(ISNUMBER(VLOOKUP("5.2",A2:W105,23,FALSE)),ROUND(VLOOKUP("5.2",A2:W105,23,FALSE),4),0)</f>
        <v>2670000</v>
      </c>
    </row>
    <row r="44" spans="1:23" ht="27" customHeight="1" x14ac:dyDescent="0.3">
      <c r="A44" s="2" t="s">
        <v>100</v>
      </c>
      <c r="B44" s="3" t="s">
        <v>101</v>
      </c>
      <c r="C44" s="4">
        <v>0</v>
      </c>
      <c r="D44" s="4">
        <v>0</v>
      </c>
      <c r="E44" s="4">
        <v>0</v>
      </c>
      <c r="F44" s="4">
        <v>4776298.05</v>
      </c>
      <c r="G44" s="4">
        <v>7254551.0700000003</v>
      </c>
      <c r="H44" s="4">
        <v>8194519.2999999998</v>
      </c>
      <c r="I44" s="4">
        <v>9500000</v>
      </c>
      <c r="J44" s="4">
        <v>9500000</v>
      </c>
      <c r="K44" s="5">
        <v>9000000</v>
      </c>
      <c r="L44" s="5">
        <v>6116710</v>
      </c>
      <c r="M44" s="5">
        <v>9500000</v>
      </c>
      <c r="N44" s="5">
        <v>10500000</v>
      </c>
      <c r="O44" s="5">
        <v>7000000</v>
      </c>
      <c r="P44" s="5">
        <v>8500000</v>
      </c>
      <c r="Q44" s="5">
        <v>5000000</v>
      </c>
      <c r="R44" s="5">
        <v>5000000</v>
      </c>
      <c r="S44" s="5">
        <v>5000000</v>
      </c>
      <c r="T44" s="5">
        <v>5000000</v>
      </c>
      <c r="U44" s="5">
        <v>5000000</v>
      </c>
      <c r="V44" s="5">
        <v>5000000</v>
      </c>
      <c r="W44" s="5">
        <v>2670000</v>
      </c>
    </row>
    <row r="45" spans="1:23" ht="27" customHeight="1" x14ac:dyDescent="0.3">
      <c r="A45" s="6" t="s">
        <v>102</v>
      </c>
      <c r="B45" s="7" t="s">
        <v>103</v>
      </c>
      <c r="C45" s="10">
        <f>IF(ISNUMBER(VLOOKUP("5.1.1.1",A2:W105,3,FALSE)),ROUND(VLOOKUP("5.1.1.1",A2:W105,3,FALSE),4),0) + IF(ISNUMBER(VLOOKUP("5.1.1.2",A2:W105,3,FALSE)),ROUND(VLOOKUP("5.1.1.2",A2:W105,3,FALSE),4),0) + IF(ISNUMBER(VLOOKUP("5.1.1.3",A2:W105,3,FALSE)),ROUND(VLOOKUP("5.1.1.3",A2:W105,3,FALSE),4),0) + IF(ISNA(VLOOKUP("5.1.1.4",A2:W105,3,FALSE)),0,ROUND(VLOOKUP("5.1.1.4",A2:W105,3,FALSE),4))</f>
        <v>0</v>
      </c>
      <c r="D45" s="10">
        <f>IF(ISNUMBER(VLOOKUP("5.1.1.1",A2:W105,4,FALSE)),ROUND(VLOOKUP("5.1.1.1",A2:W105,4,FALSE),4),0) + IF(ISNUMBER(VLOOKUP("5.1.1.2",A2:W105,4,FALSE)),ROUND(VLOOKUP("5.1.1.2",A2:W105,4,FALSE),4),0) + IF(ISNUMBER(VLOOKUP("5.1.1.3",A2:W105,4,FALSE)),ROUND(VLOOKUP("5.1.1.3",A2:W105,4,FALSE),4),0) + IF(ISNA(VLOOKUP("5.1.1.4",A2:W105,4,FALSE)),0,ROUND(VLOOKUP("5.1.1.4",A2:W105,4,FALSE),4))</f>
        <v>0</v>
      </c>
      <c r="E45" s="10">
        <f>IF(ISNUMBER(VLOOKUP("5.1.1.1",A2:W105,5,FALSE)),ROUND(VLOOKUP("5.1.1.1",A2:W105,5,FALSE),4),0) + IF(ISNUMBER(VLOOKUP("5.1.1.2",A2:W105,5,FALSE)),ROUND(VLOOKUP("5.1.1.2",A2:W105,5,FALSE),4),0) + IF(ISNUMBER(VLOOKUP("5.1.1.3",A2:W105,5,FALSE)),ROUND(VLOOKUP("5.1.1.3",A2:W105,5,FALSE),4),0) + IF(ISNA(VLOOKUP("5.1.1.4",A2:W105,5,FALSE)),0,ROUND(VLOOKUP("5.1.1.4",A2:W105,5,FALSE),4))</f>
        <v>0</v>
      </c>
      <c r="F45" s="10">
        <f>IF(ISNUMBER(VLOOKUP("5.1.1.1",A2:W105,6,FALSE)),ROUND(VLOOKUP("5.1.1.1",A2:W105,6,FALSE),4),0) + IF(ISNUMBER(VLOOKUP("5.1.1.2",A2:W105,6,FALSE)),ROUND(VLOOKUP("5.1.1.2",A2:W105,6,FALSE),4),0) + IF(ISNUMBER(VLOOKUP("5.1.1.3",A2:W105,6,FALSE)),ROUND(VLOOKUP("5.1.1.3",A2:W105,6,FALSE),4),0) + IF(ISNA(VLOOKUP("5.1.1.4",A2:W105,6,FALSE)),0,ROUND(VLOOKUP("5.1.1.4",A2:W105,6,FALSE),4))</f>
        <v>0</v>
      </c>
      <c r="G45" s="10">
        <f>IF(ISNUMBER(VLOOKUP("5.1.1.1",A2:W105,7,FALSE)),ROUND(VLOOKUP("5.1.1.1",A2:W105,7,FALSE),4),0) + IF(ISNUMBER(VLOOKUP("5.1.1.2",A2:W105,7,FALSE)),ROUND(VLOOKUP("5.1.1.2",A2:W105,7,FALSE),4),0) + IF(ISNUMBER(VLOOKUP("5.1.1.3",A2:W105,7,FALSE)),ROUND(VLOOKUP("5.1.1.3",A2:W105,7,FALSE),4),0) + IF(ISNA(VLOOKUP("5.1.1.4",A2:W105,7,FALSE)),0,ROUND(VLOOKUP("5.1.1.4",A2:W105,7,FALSE),4))</f>
        <v>0</v>
      </c>
      <c r="H45" s="10">
        <f>IF(ISNUMBER(VLOOKUP("5.1.1.1",A2:W105,8,FALSE)),ROUND(VLOOKUP("5.1.1.1",A2:W105,8,FALSE),4),0) + IF(ISNUMBER(VLOOKUP("5.1.1.2",A2:W105,8,FALSE)),ROUND(VLOOKUP("5.1.1.2",A2:W105,8,FALSE),4),0) + IF(ISNUMBER(VLOOKUP("5.1.1.3",A2:W105,8,FALSE)),ROUND(VLOOKUP("5.1.1.3",A2:W105,8,FALSE),4),0) + IF(ISNA(VLOOKUP("5.1.1.4",A2:W105,8,FALSE)),0,ROUND(VLOOKUP("5.1.1.4",A2:W105,8,FALSE),4))</f>
        <v>0</v>
      </c>
      <c r="I45" s="10">
        <f>IF(ISNUMBER(VLOOKUP("5.1.1.1",A2:W105,9,FALSE)),ROUND(VLOOKUP("5.1.1.1",A2:W105,9,FALSE),4),0) + IF(ISNUMBER(VLOOKUP("5.1.1.2",A2:W105,9,FALSE)),ROUND(VLOOKUP("5.1.1.2",A2:W105,9,FALSE),4),0) + IF(ISNUMBER(VLOOKUP("5.1.1.3",A2:W105,9,FALSE)),ROUND(VLOOKUP("5.1.1.3",A2:W105,9,FALSE),4),0) + IF(ISNA(VLOOKUP("5.1.1.4",A2:W105,9,FALSE)),0,ROUND(VLOOKUP("5.1.1.4",A2:W105,9,FALSE),4))</f>
        <v>0</v>
      </c>
      <c r="J45" s="10">
        <f>IF(ISNUMBER(VLOOKUP("5.1.1.1",A2:W105,10,FALSE)),ROUND(VLOOKUP("5.1.1.1",A2:W105,10,FALSE),4),0) + IF(ISNUMBER(VLOOKUP("5.1.1.2",A2:W105,10,FALSE)),ROUND(VLOOKUP("5.1.1.2",A2:W105,10,FALSE),4),0) + IF(ISNUMBER(VLOOKUP("5.1.1.3",A2:W105,10,FALSE)),ROUND(VLOOKUP("5.1.1.3",A2:W105,10,FALSE),4),0) + IF(ISNA(VLOOKUP("5.1.1.4",A2:W105,10,FALSE)),0,ROUND(VLOOKUP("5.1.1.4",A2:W105,10,FALSE),4))</f>
        <v>0</v>
      </c>
      <c r="K45" s="11">
        <f>IF(ISNUMBER(VLOOKUP("5.1.1.1",A2:W105,11,FALSE)),ROUND(VLOOKUP("5.1.1.1",A2:W105,11,FALSE),4),0) + IF(ISNUMBER(VLOOKUP("5.1.1.2",A2:W105,11,FALSE)),ROUND(VLOOKUP("5.1.1.2",A2:W105,11,FALSE),4),0) + IF(ISNUMBER(VLOOKUP("5.1.1.3",A2:W105,11,FALSE)),ROUND(VLOOKUP("5.1.1.3",A2:W105,11,FALSE),4),0) + IF(ISNA(VLOOKUP("5.1.1.4",A2:W105,11,FALSE)),0,ROUND(VLOOKUP("5.1.1.4",A2:W105,11,FALSE),4))</f>
        <v>0</v>
      </c>
      <c r="L45" s="11">
        <f>IF(ISNUMBER(VLOOKUP("5.1.1.1",A2:W105,12,FALSE)),ROUND(VLOOKUP("5.1.1.1",A2:W105,12,FALSE),4),0) + IF(ISNUMBER(VLOOKUP("5.1.1.2",A2:W105,12,FALSE)),ROUND(VLOOKUP("5.1.1.2",A2:W105,12,FALSE),4),0) + IF(ISNUMBER(VLOOKUP("5.1.1.3",A2:W105,12,FALSE)),ROUND(VLOOKUP("5.1.1.3",A2:W105,12,FALSE),4),0) + IF(ISNA(VLOOKUP("5.1.1.4",A2:W105,12,FALSE)),0,ROUND(VLOOKUP("5.1.1.4",A2:W105,12,FALSE),4))</f>
        <v>0</v>
      </c>
      <c r="M45" s="11">
        <f>IF(ISNUMBER(VLOOKUP("5.1.1.1",A2:W105,13,FALSE)),ROUND(VLOOKUP("5.1.1.1",A2:W105,13,FALSE),4),0) + IF(ISNUMBER(VLOOKUP("5.1.1.2",A2:W105,13,FALSE)),ROUND(VLOOKUP("5.1.1.2",A2:W105,13,FALSE),4),0) + IF(ISNUMBER(VLOOKUP("5.1.1.3",A2:W105,13,FALSE)),ROUND(VLOOKUP("5.1.1.3",A2:W105,13,FALSE),4),0) + IF(ISNA(VLOOKUP("5.1.1.4",A2:W105,13,FALSE)),0,ROUND(VLOOKUP("5.1.1.4",A2:W105,13,FALSE),4))</f>
        <v>0</v>
      </c>
      <c r="N45" s="11">
        <f>IF(ISNUMBER(VLOOKUP("5.1.1.1",A2:W105,14,FALSE)),ROUND(VLOOKUP("5.1.1.1",A2:W105,14,FALSE),4),0) + IF(ISNUMBER(VLOOKUP("5.1.1.2",A2:W105,14,FALSE)),ROUND(VLOOKUP("5.1.1.2",A2:W105,14,FALSE),4),0) + IF(ISNUMBER(VLOOKUP("5.1.1.3",A2:W105,14,FALSE)),ROUND(VLOOKUP("5.1.1.3",A2:W105,14,FALSE),4),0) + IF(ISNA(VLOOKUP("5.1.1.4",A2:W105,14,FALSE)),0,ROUND(VLOOKUP("5.1.1.4",A2:W105,14,FALSE),4))</f>
        <v>0</v>
      </c>
      <c r="O45" s="11">
        <f>IF(ISNUMBER(VLOOKUP("5.1.1.1",A2:W105,15,FALSE)),ROUND(VLOOKUP("5.1.1.1",A2:W105,15,FALSE),4),0) + IF(ISNUMBER(VLOOKUP("5.1.1.2",A2:W105,15,FALSE)),ROUND(VLOOKUP("5.1.1.2",A2:W105,15,FALSE),4),0) + IF(ISNUMBER(VLOOKUP("5.1.1.3",A2:W105,15,FALSE)),ROUND(VLOOKUP("5.1.1.3",A2:W105,15,FALSE),4),0) + IF(ISNA(VLOOKUP("5.1.1.4",A2:W105,15,FALSE)),0,ROUND(VLOOKUP("5.1.1.4",A2:W105,15,FALSE),4))</f>
        <v>0</v>
      </c>
      <c r="P45" s="11">
        <f>IF(ISNUMBER(VLOOKUP("5.1.1.1",A2:W105,16,FALSE)),ROUND(VLOOKUP("5.1.1.1",A2:W105,16,FALSE),4),0) + IF(ISNUMBER(VLOOKUP("5.1.1.2",A2:W105,16,FALSE)),ROUND(VLOOKUP("5.1.1.2",A2:W105,16,FALSE),4),0) + IF(ISNUMBER(VLOOKUP("5.1.1.3",A2:W105,16,FALSE)),ROUND(VLOOKUP("5.1.1.3",A2:W105,16,FALSE),4),0) + IF(ISNA(VLOOKUP("5.1.1.4",A2:W105,16,FALSE)),0,ROUND(VLOOKUP("5.1.1.4",A2:W105,16,FALSE),4))</f>
        <v>0</v>
      </c>
      <c r="Q45" s="11">
        <f>IF(ISNUMBER(VLOOKUP("5.1.1.1",A2:W105,17,FALSE)),ROUND(VLOOKUP("5.1.1.1",A2:W105,17,FALSE),4),0) + IF(ISNUMBER(VLOOKUP("5.1.1.2",A2:W105,17,FALSE)),ROUND(VLOOKUP("5.1.1.2",A2:W105,17,FALSE),4),0) + IF(ISNUMBER(VLOOKUP("5.1.1.3",A2:W105,17,FALSE)),ROUND(VLOOKUP("5.1.1.3",A2:W105,17,FALSE),4),0) + IF(ISNA(VLOOKUP("5.1.1.4",A2:W105,17,FALSE)),0,ROUND(VLOOKUP("5.1.1.4",A2:W105,17,FALSE),4))</f>
        <v>0</v>
      </c>
      <c r="R45" s="11">
        <f>IF(ISNUMBER(VLOOKUP("5.1.1.1",A2:W105,18,FALSE)),ROUND(VLOOKUP("5.1.1.1",A2:W105,18,FALSE),4),0) + IF(ISNUMBER(VLOOKUP("5.1.1.2",A2:W105,18,FALSE)),ROUND(VLOOKUP("5.1.1.2",A2:W105,18,FALSE),4),0) + IF(ISNUMBER(VLOOKUP("5.1.1.3",A2:W105,18,FALSE)),ROUND(VLOOKUP("5.1.1.3",A2:W105,18,FALSE),4),0) + IF(ISNA(VLOOKUP("5.1.1.4",A2:W105,18,FALSE)),0,ROUND(VLOOKUP("5.1.1.4",A2:W105,18,FALSE),4))</f>
        <v>0</v>
      </c>
      <c r="S45" s="11">
        <f>IF(ISNUMBER(VLOOKUP("5.1.1.1",A2:W105,19,FALSE)),ROUND(VLOOKUP("5.1.1.1",A2:W105,19,FALSE),4),0) + IF(ISNUMBER(VLOOKUP("5.1.1.2",A2:W105,19,FALSE)),ROUND(VLOOKUP("5.1.1.2",A2:W105,19,FALSE),4),0) + IF(ISNUMBER(VLOOKUP("5.1.1.3",A2:W105,19,FALSE)),ROUND(VLOOKUP("5.1.1.3",A2:W105,19,FALSE),4),0) + IF(ISNA(VLOOKUP("5.1.1.4",A2:W105,19,FALSE)),0,ROUND(VLOOKUP("5.1.1.4",A2:W105,19,FALSE),4))</f>
        <v>0</v>
      </c>
      <c r="T45" s="11">
        <f>IF(ISNUMBER(VLOOKUP("5.1.1.1",A2:W105,20,FALSE)),ROUND(VLOOKUP("5.1.1.1",A2:W105,20,FALSE),4),0) + IF(ISNUMBER(VLOOKUP("5.1.1.2",A2:W105,20,FALSE)),ROUND(VLOOKUP("5.1.1.2",A2:W105,20,FALSE),4),0) + IF(ISNUMBER(VLOOKUP("5.1.1.3",A2:W105,20,FALSE)),ROUND(VLOOKUP("5.1.1.3",A2:W105,20,FALSE),4),0) + IF(ISNA(VLOOKUP("5.1.1.4",A2:W105,20,FALSE)),0,ROUND(VLOOKUP("5.1.1.4",A2:W105,20,FALSE),4))</f>
        <v>0</v>
      </c>
      <c r="U45" s="11">
        <f>IF(ISNUMBER(VLOOKUP("5.1.1.1",A2:W105,21,FALSE)),ROUND(VLOOKUP("5.1.1.1",A2:W105,21,FALSE),4),0) + IF(ISNUMBER(VLOOKUP("5.1.1.2",A2:W105,21,FALSE)),ROUND(VLOOKUP("5.1.1.2",A2:W105,21,FALSE),4),0) + IF(ISNUMBER(VLOOKUP("5.1.1.3",A2:W105,21,FALSE)),ROUND(VLOOKUP("5.1.1.3",A2:W105,21,FALSE),4),0) + IF(ISNA(VLOOKUP("5.1.1.4",A2:W105,21,FALSE)),0,ROUND(VLOOKUP("5.1.1.4",A2:W105,21,FALSE),4))</f>
        <v>0</v>
      </c>
      <c r="V45" s="11">
        <f>IF(ISNUMBER(VLOOKUP("5.1.1.1",A2:W105,22,FALSE)),ROUND(VLOOKUP("5.1.1.1",A2:W105,22,FALSE),4),0) + IF(ISNUMBER(VLOOKUP("5.1.1.2",A2:W105,22,FALSE)),ROUND(VLOOKUP("5.1.1.2",A2:W105,22,FALSE),4),0) + IF(ISNUMBER(VLOOKUP("5.1.1.3",A2:W105,22,FALSE)),ROUND(VLOOKUP("5.1.1.3",A2:W105,22,FALSE),4),0) + IF(ISNA(VLOOKUP("5.1.1.4",A2:W105,22,FALSE)),0,ROUND(VLOOKUP("5.1.1.4",A2:W105,22,FALSE),4))</f>
        <v>0</v>
      </c>
      <c r="W45" s="11">
        <f>IF(ISNUMBER(VLOOKUP("5.1.1.1",A2:W105,23,FALSE)),ROUND(VLOOKUP("5.1.1.1",A2:W105,23,FALSE),4),0) + IF(ISNUMBER(VLOOKUP("5.1.1.2",A2:W105,23,FALSE)),ROUND(VLOOKUP("5.1.1.2",A2:W105,23,FALSE),4),0) + IF(ISNUMBER(VLOOKUP("5.1.1.3",A2:W105,23,FALSE)),ROUND(VLOOKUP("5.1.1.3",A2:W105,23,FALSE),4),0) + IF(ISNA(VLOOKUP("5.1.1.4",A2:W105,23,FALSE)),0,ROUND(VLOOKUP("5.1.1.4",A2:W105,23,FALSE),4))</f>
        <v>0</v>
      </c>
    </row>
    <row r="46" spans="1:23" ht="27" customHeight="1" x14ac:dyDescent="0.3">
      <c r="A46" s="6" t="s">
        <v>104</v>
      </c>
      <c r="B46" s="7" t="s">
        <v>105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</row>
    <row r="47" spans="1:23" ht="27" customHeight="1" x14ac:dyDescent="0.3">
      <c r="A47" s="6" t="s">
        <v>106</v>
      </c>
      <c r="B47" s="7" t="s">
        <v>107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</row>
    <row r="48" spans="1:23" ht="27" customHeight="1" x14ac:dyDescent="0.3">
      <c r="A48" s="6" t="s">
        <v>108</v>
      </c>
      <c r="B48" s="7" t="s">
        <v>109</v>
      </c>
      <c r="C48" s="10">
        <f>IF(ISNUMBER(VLOOKUP("5.1.1.3.1",A2:W105,3,FALSE)),ROUND(VLOOKUP("5.1.1.3.1",A2:W105,3,FALSE),4),0) + IF(ISNUMBER(VLOOKUP("5.1.1.3.2",A2:W105,3,FALSE)),ROUND(VLOOKUP("5.1.1.3.2",A2:W105,3,FALSE),4),0) + IF(ISNUMBER(VLOOKUP("5.1.1.3.3",A2:W105,3,FALSE)),ROUND(VLOOKUP("5.1.1.3.3",A2:W105,3,FALSE),4),0)</f>
        <v>0</v>
      </c>
      <c r="D48" s="10">
        <f>IF(ISNUMBER(VLOOKUP("5.1.1.3.1",A2:W105,4,FALSE)),ROUND(VLOOKUP("5.1.1.3.1",A2:W105,4,FALSE),4),0) + IF(ISNUMBER(VLOOKUP("5.1.1.3.2",A2:W105,4,FALSE)),ROUND(VLOOKUP("5.1.1.3.2",A2:W105,4,FALSE),4),0) + IF(ISNUMBER(VLOOKUP("5.1.1.3.3",A2:W105,4,FALSE)),ROUND(VLOOKUP("5.1.1.3.3",A2:W105,4,FALSE),4),0)</f>
        <v>0</v>
      </c>
      <c r="E48" s="10">
        <f>IF(ISNUMBER(VLOOKUP("5.1.1.3.1",A2:W105,5,FALSE)),ROUND(VLOOKUP("5.1.1.3.1",A2:W105,5,FALSE),4),0) + IF(ISNUMBER(VLOOKUP("5.1.1.3.2",A2:W105,5,FALSE)),ROUND(VLOOKUP("5.1.1.3.2",A2:W105,5,FALSE),4),0) + IF(ISNUMBER(VLOOKUP("5.1.1.3.3",A2:W105,5,FALSE)),ROUND(VLOOKUP("5.1.1.3.3",A2:W105,5,FALSE),4),0)</f>
        <v>0</v>
      </c>
      <c r="F48" s="10">
        <f>IF(ISNUMBER(VLOOKUP("5.1.1.3.1",A2:W105,6,FALSE)),ROUND(VLOOKUP("5.1.1.3.1",A2:W105,6,FALSE),4),0) + IF(ISNUMBER(VLOOKUP("5.1.1.3.2",A2:W105,6,FALSE)),ROUND(VLOOKUP("5.1.1.3.2",A2:W105,6,FALSE),4),0) + IF(ISNUMBER(VLOOKUP("5.1.1.3.3",A2:W105,6,FALSE)),ROUND(VLOOKUP("5.1.1.3.3",A2:W105,6,FALSE),4),0)</f>
        <v>0</v>
      </c>
      <c r="G48" s="10">
        <f>IF(ISNUMBER(VLOOKUP("5.1.1.3.1",A2:W105,7,FALSE)),ROUND(VLOOKUP("5.1.1.3.1",A2:W105,7,FALSE),4),0) + IF(ISNUMBER(VLOOKUP("5.1.1.3.2",A2:W105,7,FALSE)),ROUND(VLOOKUP("5.1.1.3.2",A2:W105,7,FALSE),4),0) + IF(ISNUMBER(VLOOKUP("5.1.1.3.3",A2:W105,7,FALSE)),ROUND(VLOOKUP("5.1.1.3.3",A2:W105,7,FALSE),4),0)</f>
        <v>0</v>
      </c>
      <c r="H48" s="10">
        <f>IF(ISNUMBER(VLOOKUP("5.1.1.3.1",A2:W105,8,FALSE)),ROUND(VLOOKUP("5.1.1.3.1",A2:W105,8,FALSE),4),0) + IF(ISNUMBER(VLOOKUP("5.1.1.3.2",A2:W105,8,FALSE)),ROUND(VLOOKUP("5.1.1.3.2",A2:W105,8,FALSE),4),0) + IF(ISNUMBER(VLOOKUP("5.1.1.3.3",A2:W105,8,FALSE)),ROUND(VLOOKUP("5.1.1.3.3",A2:W105,8,FALSE),4),0)</f>
        <v>0</v>
      </c>
      <c r="I48" s="10">
        <f>IF(ISNUMBER(VLOOKUP("5.1.1.3.1",A2:W105,9,FALSE)),ROUND(VLOOKUP("5.1.1.3.1",A2:W105,9,FALSE),4),0) + IF(ISNUMBER(VLOOKUP("5.1.1.3.2",A2:W105,9,FALSE)),ROUND(VLOOKUP("5.1.1.3.2",A2:W105,9,FALSE),4),0) + IF(ISNUMBER(VLOOKUP("5.1.1.3.3",A2:W105,9,FALSE)),ROUND(VLOOKUP("5.1.1.3.3",A2:W105,9,FALSE),4),0)</f>
        <v>0</v>
      </c>
      <c r="J48" s="10">
        <f>IF(ISNUMBER(VLOOKUP("5.1.1.3.1",A2:W105,10,FALSE)),ROUND(VLOOKUP("5.1.1.3.1",A2:W105,10,FALSE),4),0) + IF(ISNUMBER(VLOOKUP("5.1.1.3.2",A2:W105,10,FALSE)),ROUND(VLOOKUP("5.1.1.3.2",A2:W105,10,FALSE),4),0) + IF(ISNUMBER(VLOOKUP("5.1.1.3.3",A2:W105,10,FALSE)),ROUND(VLOOKUP("5.1.1.3.3",A2:W105,10,FALSE),4),0)</f>
        <v>0</v>
      </c>
      <c r="K48" s="11">
        <f>IF(ISNUMBER(VLOOKUP("5.1.1.3.1",A2:W105,11,FALSE)),ROUND(VLOOKUP("5.1.1.3.1",A2:W105,11,FALSE),4),0) + IF(ISNUMBER(VLOOKUP("5.1.1.3.2",A2:W105,11,FALSE)),ROUND(VLOOKUP("5.1.1.3.2",A2:W105,11,FALSE),4),0) + IF(ISNUMBER(VLOOKUP("5.1.1.3.3",A2:W105,11,FALSE)),ROUND(VLOOKUP("5.1.1.3.3",A2:W105,11,FALSE),4),0)</f>
        <v>0</v>
      </c>
      <c r="L48" s="11">
        <f>IF(ISNUMBER(VLOOKUP("5.1.1.3.1",A2:W105,12,FALSE)),ROUND(VLOOKUP("5.1.1.3.1",A2:W105,12,FALSE),4),0) + IF(ISNUMBER(VLOOKUP("5.1.1.3.2",A2:W105,12,FALSE)),ROUND(VLOOKUP("5.1.1.3.2",A2:W105,12,FALSE),4),0) + IF(ISNUMBER(VLOOKUP("5.1.1.3.3",A2:W105,12,FALSE)),ROUND(VLOOKUP("5.1.1.3.3",A2:W105,12,FALSE),4),0)</f>
        <v>0</v>
      </c>
      <c r="M48" s="11">
        <f>IF(ISNUMBER(VLOOKUP("5.1.1.3.1",A2:W105,13,FALSE)),ROUND(VLOOKUP("5.1.1.3.1",A2:W105,13,FALSE),4),0) + IF(ISNUMBER(VLOOKUP("5.1.1.3.2",A2:W105,13,FALSE)),ROUND(VLOOKUP("5.1.1.3.2",A2:W105,13,FALSE),4),0) + IF(ISNUMBER(VLOOKUP("5.1.1.3.3",A2:W105,13,FALSE)),ROUND(VLOOKUP("5.1.1.3.3",A2:W105,13,FALSE),4),0)</f>
        <v>0</v>
      </c>
      <c r="N48" s="11">
        <f>IF(ISNUMBER(VLOOKUP("5.1.1.3.1",A2:W105,14,FALSE)),ROUND(VLOOKUP("5.1.1.3.1",A2:W105,14,FALSE),4),0) + IF(ISNUMBER(VLOOKUP("5.1.1.3.2",A2:W105,14,FALSE)),ROUND(VLOOKUP("5.1.1.3.2",A2:W105,14,FALSE),4),0) + IF(ISNUMBER(VLOOKUP("5.1.1.3.3",A2:W105,14,FALSE)),ROUND(VLOOKUP("5.1.1.3.3",A2:W105,14,FALSE),4),0)</f>
        <v>0</v>
      </c>
      <c r="O48" s="11">
        <f>IF(ISNUMBER(VLOOKUP("5.1.1.3.1",A2:W105,15,FALSE)),ROUND(VLOOKUP("5.1.1.3.1",A2:W105,15,FALSE),4),0) + IF(ISNUMBER(VLOOKUP("5.1.1.3.2",A2:W105,15,FALSE)),ROUND(VLOOKUP("5.1.1.3.2",A2:W105,15,FALSE),4),0) + IF(ISNUMBER(VLOOKUP("5.1.1.3.3",A2:W105,15,FALSE)),ROUND(VLOOKUP("5.1.1.3.3",A2:W105,15,FALSE),4),0)</f>
        <v>0</v>
      </c>
      <c r="P48" s="11">
        <f>IF(ISNUMBER(VLOOKUP("5.1.1.3.1",A2:W105,16,FALSE)),ROUND(VLOOKUP("5.1.1.3.1",A2:W105,16,FALSE),4),0) + IF(ISNUMBER(VLOOKUP("5.1.1.3.2",A2:W105,16,FALSE)),ROUND(VLOOKUP("5.1.1.3.2",A2:W105,16,FALSE),4),0) + IF(ISNUMBER(VLOOKUP("5.1.1.3.3",A2:W105,16,FALSE)),ROUND(VLOOKUP("5.1.1.3.3",A2:W105,16,FALSE),4),0)</f>
        <v>0</v>
      </c>
      <c r="Q48" s="11">
        <f>IF(ISNUMBER(VLOOKUP("5.1.1.3.1",A2:W105,17,FALSE)),ROUND(VLOOKUP("5.1.1.3.1",A2:W105,17,FALSE),4),0) + IF(ISNUMBER(VLOOKUP("5.1.1.3.2",A2:W105,17,FALSE)),ROUND(VLOOKUP("5.1.1.3.2",A2:W105,17,FALSE),4),0) + IF(ISNUMBER(VLOOKUP("5.1.1.3.3",A2:W105,17,FALSE)),ROUND(VLOOKUP("5.1.1.3.3",A2:W105,17,FALSE),4),0)</f>
        <v>0</v>
      </c>
      <c r="R48" s="11">
        <f>IF(ISNUMBER(VLOOKUP("5.1.1.3.1",A2:W105,18,FALSE)),ROUND(VLOOKUP("5.1.1.3.1",A2:W105,18,FALSE),4),0) + IF(ISNUMBER(VLOOKUP("5.1.1.3.2",A2:W105,18,FALSE)),ROUND(VLOOKUP("5.1.1.3.2",A2:W105,18,FALSE),4),0) + IF(ISNUMBER(VLOOKUP("5.1.1.3.3",A2:W105,18,FALSE)),ROUND(VLOOKUP("5.1.1.3.3",A2:W105,18,FALSE),4),0)</f>
        <v>0</v>
      </c>
      <c r="S48" s="11">
        <f>IF(ISNUMBER(VLOOKUP("5.1.1.3.1",A2:W105,19,FALSE)),ROUND(VLOOKUP("5.1.1.3.1",A2:W105,19,FALSE),4),0) + IF(ISNUMBER(VLOOKUP("5.1.1.3.2",A2:W105,19,FALSE)),ROUND(VLOOKUP("5.1.1.3.2",A2:W105,19,FALSE),4),0) + IF(ISNUMBER(VLOOKUP("5.1.1.3.3",A2:W105,19,FALSE)),ROUND(VLOOKUP("5.1.1.3.3",A2:W105,19,FALSE),4),0)</f>
        <v>0</v>
      </c>
      <c r="T48" s="11">
        <f>IF(ISNUMBER(VLOOKUP("5.1.1.3.1",A2:W105,20,FALSE)),ROUND(VLOOKUP("5.1.1.3.1",A2:W105,20,FALSE),4),0) + IF(ISNUMBER(VLOOKUP("5.1.1.3.2",A2:W105,20,FALSE)),ROUND(VLOOKUP("5.1.1.3.2",A2:W105,20,FALSE),4),0) + IF(ISNUMBER(VLOOKUP("5.1.1.3.3",A2:W105,20,FALSE)),ROUND(VLOOKUP("5.1.1.3.3",A2:W105,20,FALSE),4),0)</f>
        <v>0</v>
      </c>
      <c r="U48" s="11">
        <f>IF(ISNUMBER(VLOOKUP("5.1.1.3.1",A2:W105,21,FALSE)),ROUND(VLOOKUP("5.1.1.3.1",A2:W105,21,FALSE),4),0) + IF(ISNUMBER(VLOOKUP("5.1.1.3.2",A2:W105,21,FALSE)),ROUND(VLOOKUP("5.1.1.3.2",A2:W105,21,FALSE),4),0) + IF(ISNUMBER(VLOOKUP("5.1.1.3.3",A2:W105,21,FALSE)),ROUND(VLOOKUP("5.1.1.3.3",A2:W105,21,FALSE),4),0)</f>
        <v>0</v>
      </c>
      <c r="V48" s="11">
        <f>IF(ISNUMBER(VLOOKUP("5.1.1.3.1",A2:W105,22,FALSE)),ROUND(VLOOKUP("5.1.1.3.1",A2:W105,22,FALSE),4),0) + IF(ISNUMBER(VLOOKUP("5.1.1.3.2",A2:W105,22,FALSE)),ROUND(VLOOKUP("5.1.1.3.2",A2:W105,22,FALSE),4),0) + IF(ISNUMBER(VLOOKUP("5.1.1.3.3",A2:W105,22,FALSE)),ROUND(VLOOKUP("5.1.1.3.3",A2:W105,22,FALSE),4),0)</f>
        <v>0</v>
      </c>
      <c r="W48" s="11">
        <f>IF(ISNUMBER(VLOOKUP("5.1.1.3.1",A2:W105,23,FALSE)),ROUND(VLOOKUP("5.1.1.3.1",A2:W105,23,FALSE),4),0) + IF(ISNUMBER(VLOOKUP("5.1.1.3.2",A2:W105,23,FALSE)),ROUND(VLOOKUP("5.1.1.3.2",A2:W105,23,FALSE),4),0) + IF(ISNUMBER(VLOOKUP("5.1.1.3.3",A2:W105,23,FALSE)),ROUND(VLOOKUP("5.1.1.3.3",A2:W105,23,FALSE),4),0)</f>
        <v>0</v>
      </c>
    </row>
    <row r="49" spans="1:23" ht="14.25" customHeight="1" x14ac:dyDescent="0.3">
      <c r="A49" s="6" t="s">
        <v>110</v>
      </c>
      <c r="B49" s="7" t="s">
        <v>111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</row>
    <row r="50" spans="1:23" ht="27" customHeight="1" x14ac:dyDescent="0.3">
      <c r="A50" s="6" t="s">
        <v>112</v>
      </c>
      <c r="B50" s="7" t="s">
        <v>113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</row>
    <row r="51" spans="1:23" ht="14.25" customHeight="1" x14ac:dyDescent="0.3">
      <c r="A51" s="6" t="s">
        <v>114</v>
      </c>
      <c r="B51" s="7" t="s">
        <v>115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</row>
    <row r="52" spans="1:23" ht="27" customHeight="1" x14ac:dyDescent="0.3">
      <c r="A52" s="6" t="s">
        <v>116</v>
      </c>
      <c r="B52" s="7" t="s">
        <v>117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</row>
    <row r="53" spans="1:23" ht="14.25" customHeight="1" x14ac:dyDescent="0.3">
      <c r="A53" s="2" t="s">
        <v>118</v>
      </c>
      <c r="B53" s="3" t="s">
        <v>119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7207626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</row>
    <row r="54" spans="1:23" ht="14.25" customHeight="1" x14ac:dyDescent="0.3">
      <c r="A54" s="2" t="s">
        <v>120</v>
      </c>
      <c r="B54" s="3" t="s">
        <v>121</v>
      </c>
      <c r="C54" s="4">
        <v>0</v>
      </c>
      <c r="D54" s="4">
        <v>0</v>
      </c>
      <c r="E54" s="4">
        <v>0</v>
      </c>
      <c r="F54" s="4">
        <v>34161180.170000002</v>
      </c>
      <c r="G54" s="4">
        <v>32906629.100000001</v>
      </c>
      <c r="H54" s="4">
        <v>43616710</v>
      </c>
      <c r="I54" s="4">
        <v>46616710</v>
      </c>
      <c r="J54" s="4">
        <v>41116710</v>
      </c>
      <c r="K54" s="5">
        <v>72286710</v>
      </c>
      <c r="L54" s="5">
        <v>68170000</v>
      </c>
      <c r="M54" s="5">
        <v>58670000</v>
      </c>
      <c r="N54" s="5">
        <v>48170000</v>
      </c>
      <c r="O54" s="5">
        <v>41170000</v>
      </c>
      <c r="P54" s="5">
        <v>32670000</v>
      </c>
      <c r="Q54" s="5">
        <v>27670000</v>
      </c>
      <c r="R54" s="5">
        <v>22670000</v>
      </c>
      <c r="S54" s="5">
        <v>17670000</v>
      </c>
      <c r="T54" s="5">
        <v>12670000</v>
      </c>
      <c r="U54" s="5">
        <v>7670000</v>
      </c>
      <c r="V54" s="5">
        <v>2670000</v>
      </c>
      <c r="W54" s="5">
        <v>0</v>
      </c>
    </row>
    <row r="55" spans="1:23" ht="27" customHeight="1" x14ac:dyDescent="0.3">
      <c r="A55" s="6" t="s">
        <v>122</v>
      </c>
      <c r="B55" s="7" t="s">
        <v>123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</row>
    <row r="56" spans="1:23" ht="27" customHeight="1" x14ac:dyDescent="0.3">
      <c r="A56" s="2" t="s">
        <v>124</v>
      </c>
      <c r="B56" s="3" t="s">
        <v>125</v>
      </c>
      <c r="C56" s="24" t="s">
        <v>126</v>
      </c>
      <c r="D56" s="24" t="s">
        <v>126</v>
      </c>
      <c r="E56" s="24" t="s">
        <v>126</v>
      </c>
      <c r="F56" s="24" t="s">
        <v>126</v>
      </c>
      <c r="G56" s="24" t="s">
        <v>126</v>
      </c>
      <c r="H56" s="24" t="s">
        <v>126</v>
      </c>
      <c r="I56" s="24" t="s">
        <v>126</v>
      </c>
      <c r="J56" s="24" t="s">
        <v>126</v>
      </c>
      <c r="K56" s="25" t="s">
        <v>126</v>
      </c>
      <c r="L56" s="25" t="s">
        <v>126</v>
      </c>
      <c r="M56" s="25" t="s">
        <v>126</v>
      </c>
      <c r="N56" s="25" t="s">
        <v>126</v>
      </c>
      <c r="O56" s="25" t="s">
        <v>126</v>
      </c>
      <c r="P56" s="25" t="s">
        <v>126</v>
      </c>
      <c r="Q56" s="25" t="s">
        <v>126</v>
      </c>
      <c r="R56" s="25" t="s">
        <v>126</v>
      </c>
      <c r="S56" s="25" t="s">
        <v>126</v>
      </c>
      <c r="T56" s="25" t="s">
        <v>126</v>
      </c>
      <c r="U56" s="25" t="s">
        <v>126</v>
      </c>
      <c r="V56" s="25" t="s">
        <v>126</v>
      </c>
      <c r="W56" s="25" t="s">
        <v>126</v>
      </c>
    </row>
    <row r="57" spans="1:23" ht="27" customHeight="1" x14ac:dyDescent="0.3">
      <c r="A57" s="6" t="s">
        <v>127</v>
      </c>
      <c r="B57" s="7" t="s">
        <v>128</v>
      </c>
      <c r="C57" s="10">
        <f>IF(ISNUMBER(VLOOKUP("1.1",A2:W105,3,FALSE)),ROUND(VLOOKUP("1.1",A2:W105,3,FALSE),4),0) - IF(ISNUMBER(VLOOKUP("2.1",A2:W105,3,FALSE)),ROUND(VLOOKUP("2.1",A2:W105,3,FALSE),4),0)</f>
        <v>11354256.030000001</v>
      </c>
      <c r="D57" s="10">
        <f>IF(ISNUMBER(VLOOKUP("1.1",A2:W105,4,FALSE)),ROUND(VLOOKUP("1.1",A2:W105,4,FALSE),4),0) - IF(ISNUMBER(VLOOKUP("2.1",A2:W105,4,FALSE)),ROUND(VLOOKUP("2.1",A2:W105,4,FALSE),4),0)</f>
        <v>13530325.710000008</v>
      </c>
      <c r="E57" s="10">
        <f>IF(ISNUMBER(VLOOKUP("1.1",A2:W105,5,FALSE)),ROUND(VLOOKUP("1.1",A2:W105,5,FALSE),4),0) - IF(ISNUMBER(VLOOKUP("2.1",A2:W105,5,FALSE)),ROUND(VLOOKUP("2.1",A2:W105,5,FALSE),4),0)</f>
        <v>9734832.5</v>
      </c>
      <c r="F57" s="10">
        <f>IF(ISNUMBER(VLOOKUP("1.1",A2:W105,6,FALSE)),ROUND(VLOOKUP("1.1",A2:W105,6,FALSE),4),0) - IF(ISNUMBER(VLOOKUP("2.1",A2:W105,6,FALSE)),ROUND(VLOOKUP("2.1",A2:W105,6,FALSE),4),0)</f>
        <v>15829109.599999994</v>
      </c>
      <c r="G57" s="10">
        <f>IF(ISNUMBER(VLOOKUP("1.1",A2:W105,7,FALSE)),ROUND(VLOOKUP("1.1",A2:W105,7,FALSE),4),0) - IF(ISNUMBER(VLOOKUP("2.1",A2:W105,7,FALSE)),ROUND(VLOOKUP("2.1",A2:W105,7,FALSE),4),0)</f>
        <v>13938906.659999996</v>
      </c>
      <c r="H57" s="10">
        <f>IF(ISNUMBER(VLOOKUP("1.1",A2:W105,8,FALSE)),ROUND(VLOOKUP("1.1",A2:W105,8,FALSE),4),0) - IF(ISNUMBER(VLOOKUP("2.1",A2:W105,8,FALSE)),ROUND(VLOOKUP("2.1",A2:W105,8,FALSE),4),0)</f>
        <v>8938823.0699999928</v>
      </c>
      <c r="I57" s="10">
        <f>IF(ISNUMBER(VLOOKUP("1.1",A2:W105,9,FALSE)),ROUND(VLOOKUP("1.1",A2:W105,9,FALSE),4),0) - IF(ISNUMBER(VLOOKUP("2.1",A2:W105,9,FALSE)),ROUND(VLOOKUP("2.1",A2:W105,9,FALSE),4),0)</f>
        <v>5674403.3799999952</v>
      </c>
      <c r="J57" s="10">
        <f>IF(ISNUMBER(VLOOKUP("1.1",A2:W105,10,FALSE)),ROUND(VLOOKUP("1.1",A2:W105,10,FALSE),4),0) - IF(ISNUMBER(VLOOKUP("2.1",A2:W105,10,FALSE)),ROUND(VLOOKUP("2.1",A2:W105,10,FALSE),4),0)</f>
        <v>11796930.139999986</v>
      </c>
      <c r="K57" s="11">
        <f>IF(ISNUMBER(VLOOKUP("1.1",A2:W105,11,FALSE)),ROUND(VLOOKUP("1.1",A2:W105,11,FALSE),4),0) - IF(ISNUMBER(VLOOKUP("2.1",A2:W105,11,FALSE)),ROUND(VLOOKUP("2.1",A2:W105,11,FALSE),4),0)</f>
        <v>54066.270000010729</v>
      </c>
      <c r="L57" s="11">
        <f>IF(ISNUMBER(VLOOKUP("1.1",A2:W105,12,FALSE)),ROUND(VLOOKUP("1.1",A2:W105,12,FALSE),4),0) - IF(ISNUMBER(VLOOKUP("2.1",A2:W105,12,FALSE)),ROUND(VLOOKUP("2.1",A2:W105,12,FALSE),4),0)</f>
        <v>4683589.0900000036</v>
      </c>
      <c r="M57" s="11">
        <f>IF(ISNUMBER(VLOOKUP("1.1",A2:W105,13,FALSE)),ROUND(VLOOKUP("1.1",A2:W105,13,FALSE),4),0) - IF(ISNUMBER(VLOOKUP("2.1",A2:W105,13,FALSE)),ROUND(VLOOKUP("2.1",A2:W105,13,FALSE),4),0)</f>
        <v>7234309.0900000036</v>
      </c>
      <c r="N57" s="11">
        <f>IF(ISNUMBER(VLOOKUP("1.1",A2:W105,14,FALSE)),ROUND(VLOOKUP("1.1",A2:W105,14,FALSE),4),0) - IF(ISNUMBER(VLOOKUP("2.1",A2:W105,14,FALSE)),ROUND(VLOOKUP("2.1",A2:W105,14,FALSE),4),0)</f>
        <v>9425353.0900000036</v>
      </c>
      <c r="O57" s="11">
        <f>IF(ISNUMBER(VLOOKUP("1.1",A2:W105,15,FALSE)),ROUND(VLOOKUP("1.1",A2:W105,15,FALSE),4),0) - IF(ISNUMBER(VLOOKUP("2.1",A2:W105,15,FALSE)),ROUND(VLOOKUP("2.1",A2:W105,15,FALSE),4),0)</f>
        <v>11964428.090000004</v>
      </c>
      <c r="P57" s="11">
        <f>IF(ISNUMBER(VLOOKUP("1.1",A2:W105,16,FALSE)),ROUND(VLOOKUP("1.1",A2:W105,16,FALSE),4),0) - IF(ISNUMBER(VLOOKUP("2.1",A2:W105,16,FALSE)),ROUND(VLOOKUP("2.1",A2:W105,16,FALSE),4),0)</f>
        <v>15064275</v>
      </c>
      <c r="Q57" s="11">
        <f>IF(ISNUMBER(VLOOKUP("1.1",A2:W105,17,FALSE)),ROUND(VLOOKUP("1.1",A2:W105,17,FALSE),4),0) - IF(ISNUMBER(VLOOKUP("2.1",A2:W105,17,FALSE)),ROUND(VLOOKUP("2.1",A2:W105,17,FALSE),4),0)</f>
        <v>17490939</v>
      </c>
      <c r="R57" s="11">
        <f>IF(ISNUMBER(VLOOKUP("1.1",A2:W105,18,FALSE)),ROUND(VLOOKUP("1.1",A2:W105,18,FALSE),4),0) - IF(ISNUMBER(VLOOKUP("2.1",A2:W105,18,FALSE)),ROUND(VLOOKUP("2.1",A2:W105,18,FALSE),4),0)</f>
        <v>19559205</v>
      </c>
      <c r="S57" s="11">
        <f>IF(ISNUMBER(VLOOKUP("1.1",A2:W105,19,FALSE)),ROUND(VLOOKUP("1.1",A2:W105,19,FALSE),4),0) - IF(ISNUMBER(VLOOKUP("2.1",A2:W105,19,FALSE)),ROUND(VLOOKUP("2.1",A2:W105,19,FALSE),4),0)</f>
        <v>21364645</v>
      </c>
      <c r="T57" s="11">
        <f>IF(ISNUMBER(VLOOKUP("1.1",A2:W105,20,FALSE)),ROUND(VLOOKUP("1.1",A2:W105,20,FALSE),4),0) - IF(ISNUMBER(VLOOKUP("2.1",A2:W105,20,FALSE)),ROUND(VLOOKUP("2.1",A2:W105,20,FALSE),4),0)</f>
        <v>23058502</v>
      </c>
      <c r="U57" s="11">
        <f>IF(ISNUMBER(VLOOKUP("1.1",A2:W105,21,FALSE)),ROUND(VLOOKUP("1.1",A2:W105,21,FALSE),4),0) - IF(ISNUMBER(VLOOKUP("2.1",A2:W105,21,FALSE)),ROUND(VLOOKUP("2.1",A2:W105,21,FALSE),4),0)</f>
        <v>24627900</v>
      </c>
      <c r="V57" s="11">
        <f>IF(ISNUMBER(VLOOKUP("1.1",A2:W105,22,FALSE)),ROUND(VLOOKUP("1.1",A2:W105,22,FALSE),4),0) - IF(ISNUMBER(VLOOKUP("2.1",A2:W105,22,FALSE)),ROUND(VLOOKUP("2.1",A2:W105,22,FALSE),4),0)</f>
        <v>26098841</v>
      </c>
      <c r="W57" s="11">
        <f>IF(ISNUMBER(VLOOKUP("1.1",A2:W105,23,FALSE)),ROUND(VLOOKUP("1.1",A2:W105,23,FALSE),4),0) - IF(ISNUMBER(VLOOKUP("2.1",A2:W105,23,FALSE)),ROUND(VLOOKUP("2.1",A2:W105,23,FALSE),4),0)</f>
        <v>27383326</v>
      </c>
    </row>
    <row r="58" spans="1:23" ht="27" customHeight="1" x14ac:dyDescent="0.3">
      <c r="A58" s="6" t="s">
        <v>129</v>
      </c>
      <c r="B58" s="7" t="s">
        <v>130</v>
      </c>
      <c r="C58" s="10">
        <f>IF(ISNUMBER(VLOOKUP("1.1",A2:W105,3,FALSE)),ROUND(VLOOKUP("1.1",A2:W105,3,FALSE),4),0) - IF(ISNUMBER(VLOOKUP("2.1",A2:W105,3,FALSE)),ROUND(VLOOKUP("2.1",A2:W105,3,FALSE),4),0) + IF(ISNUMBER(VLOOKUP("4.2",A2:W105,3,FALSE)),ROUND(VLOOKUP("4.2",A2:W105,3,FALSE),4),0) + IF(ISNUMBER(VLOOKUP("4.3",A2:W105,3,FALSE)),ROUND(VLOOKUP("4.3",A2:W105,3,FALSE),4),0)</f>
        <v>11354256.030000001</v>
      </c>
      <c r="D58" s="10">
        <f>IF(ISNUMBER(VLOOKUP("1.1",A2:W105,4,FALSE)),ROUND(VLOOKUP("1.1",A2:W105,4,FALSE),4),0) - IF(ISNUMBER(VLOOKUP("2.1",A2:W105,4,FALSE)),ROUND(VLOOKUP("2.1",A2:W105,4,FALSE),4),0) + IF(ISNUMBER(VLOOKUP("4.2",A2:W105,4,FALSE)),ROUND(VLOOKUP("4.2",A2:W105,4,FALSE),4),0) + IF(ISNUMBER(VLOOKUP("4.3",A2:W105,4,FALSE)),ROUND(VLOOKUP("4.3",A2:W105,4,FALSE),4),0)</f>
        <v>13530325.710000008</v>
      </c>
      <c r="E58" s="10">
        <f>IF(ISNUMBER(VLOOKUP("1.1",A2:W105,5,FALSE)),ROUND(VLOOKUP("1.1",A2:W105,5,FALSE),4),0) - IF(ISNUMBER(VLOOKUP("2.1",A2:W105,5,FALSE)),ROUND(VLOOKUP("2.1",A2:W105,5,FALSE),4),0) + IF(ISNUMBER(VLOOKUP("4.2",A2:W105,5,FALSE)),ROUND(VLOOKUP("4.2",A2:W105,5,FALSE),4),0) + IF(ISNUMBER(VLOOKUP("4.3",A2:W105,5,FALSE)),ROUND(VLOOKUP("4.3",A2:W105,5,FALSE),4),0)</f>
        <v>9734832.5</v>
      </c>
      <c r="F58" s="10">
        <f>IF(ISNUMBER(VLOOKUP("1.1",A2:W105,6,FALSE)),ROUND(VLOOKUP("1.1",A2:W105,6,FALSE),4),0) - IF(ISNUMBER(VLOOKUP("2.1",A2:W105,6,FALSE)),ROUND(VLOOKUP("2.1",A2:W105,6,FALSE),4),0) + IF(ISNUMBER(VLOOKUP("4.2",A2:W105,6,FALSE)),ROUND(VLOOKUP("4.2",A2:W105,6,FALSE),4),0) + IF(ISNUMBER(VLOOKUP("4.3",A2:W105,6,FALSE)),ROUND(VLOOKUP("4.3",A2:W105,6,FALSE),4),0)</f>
        <v>23750137.259999994</v>
      </c>
      <c r="G58" s="10">
        <f>IF(ISNUMBER(VLOOKUP("1.1",A2:W105,7,FALSE)),ROUND(VLOOKUP("1.1",A2:W105,7,FALSE),4),0) - IF(ISNUMBER(VLOOKUP("2.1",A2:W105,7,FALSE)),ROUND(VLOOKUP("2.1",A2:W105,7,FALSE),4),0) + IF(ISNUMBER(VLOOKUP("4.2",A2:W105,7,FALSE)),ROUND(VLOOKUP("4.2",A2:W105,7,FALSE),4),0) + IF(ISNUMBER(VLOOKUP("4.3",A2:W105,7,FALSE)),ROUND(VLOOKUP("4.3",A2:W105,7,FALSE),4),0)</f>
        <v>24891927.649999999</v>
      </c>
      <c r="H58" s="10">
        <f>IF(ISNUMBER(VLOOKUP("1.1",A2:W105,8,FALSE)),ROUND(VLOOKUP("1.1",A2:W105,8,FALSE),4),0) - IF(ISNUMBER(VLOOKUP("2.1",A2:W105,8,FALSE)),ROUND(VLOOKUP("2.1",A2:W105,8,FALSE),4),0) + IF(ISNUMBER(VLOOKUP("4.2",A2:W105,8,FALSE)),ROUND(VLOOKUP("4.2",A2:W105,8,FALSE),4),0) + IF(ISNUMBER(VLOOKUP("4.3",A2:W105,8,FALSE)),ROUND(VLOOKUP("4.3",A2:W105,8,FALSE),4),0)</f>
        <v>22607204.209999993</v>
      </c>
      <c r="I58" s="10">
        <f>IF(ISNUMBER(VLOOKUP("1.1",A2:W105,9,FALSE)),ROUND(VLOOKUP("1.1",A2:W105,9,FALSE),4),0) - IF(ISNUMBER(VLOOKUP("2.1",A2:W105,9,FALSE)),ROUND(VLOOKUP("2.1",A2:W105,9,FALSE),4),0) + IF(ISNUMBER(VLOOKUP("4.2",A2:W105,9,FALSE)),ROUND(VLOOKUP("4.2",A2:W105,9,FALSE),4),0) + IF(ISNUMBER(VLOOKUP("4.3",A2:W105,9,FALSE)),ROUND(VLOOKUP("4.3",A2:W105,9,FALSE),4),0)</f>
        <v>10212536.839999996</v>
      </c>
      <c r="J58" s="10">
        <f>IF(ISNUMBER(VLOOKUP("1.1",A2:W105,10,FALSE)),ROUND(VLOOKUP("1.1",A2:W105,10,FALSE),4),0) - IF(ISNUMBER(VLOOKUP("2.1",A2:W105,10,FALSE)),ROUND(VLOOKUP("2.1",A2:W105,10,FALSE),4),0) + IF(ISNUMBER(VLOOKUP("4.2",A2:W105,10,FALSE)),ROUND(VLOOKUP("4.2",A2:W105,10,FALSE),4),0) + IF(ISNUMBER(VLOOKUP("4.3",A2:W105,10,FALSE)),ROUND(VLOOKUP("4.3",A2:W105,10,FALSE),4),0)</f>
        <v>17849713.479999986</v>
      </c>
      <c r="K58" s="11">
        <f>IF(ISNUMBER(VLOOKUP("1.1",A2:W105,11,FALSE)),ROUND(VLOOKUP("1.1",A2:W105,11,FALSE),4),0) - IF(ISNUMBER(VLOOKUP("2.1",A2:W105,11,FALSE)),ROUND(VLOOKUP("2.1",A2:W105,11,FALSE),4),0) + IF(ISNUMBER(VLOOKUP("4.2",A2:W105,11,FALSE)),ROUND(VLOOKUP("4.2",A2:W105,11,FALSE),4),0) + IF(ISNUMBER(VLOOKUP("4.3",A2:W105,11,FALSE)),ROUND(VLOOKUP("4.3",A2:W105,11,FALSE),4),0) + IF(ISNUMBER(VLOOKUP("4.4",A2:W105,11,FALSE)),ROUND(VLOOKUP("4.4",A2:W105,11,FALSE),4),0)</f>
        <v>54066.270000010729</v>
      </c>
      <c r="L58" s="11">
        <f>IF(ISNUMBER(VLOOKUP("1.1",A2:W105,12,FALSE)),ROUND(VLOOKUP("1.1",A2:W105,12,FALSE),4),0) - IF(ISNUMBER(VLOOKUP("2.1",A2:W105,12,FALSE)),ROUND(VLOOKUP("2.1",A2:W105,12,FALSE),4),0) + IF(ISNUMBER(VLOOKUP("4.2",A2:W105,12,FALSE)),ROUND(VLOOKUP("4.2",A2:W105,12,FALSE),4),0) + IF(ISNUMBER(VLOOKUP("4.4",A2:W105,12,FALSE)),ROUND(VLOOKUP("4.4",A2:W105,12,FALSE),4),0)</f>
        <v>4683589.0900000036</v>
      </c>
      <c r="M58" s="11">
        <f>IF(ISNUMBER(VLOOKUP("1.1",A2:W105,13,FALSE)),ROUND(VLOOKUP("1.1",A2:W105,13,FALSE),4),0) - IF(ISNUMBER(VLOOKUP("2.1",A2:W105,13,FALSE)),ROUND(VLOOKUP("2.1",A2:W105,13,FALSE),4),0) + IF(ISNUMBER(VLOOKUP("4.2",A2:W105,13,FALSE)),ROUND(VLOOKUP("4.2",A2:W105,13,FALSE),4),0) + IF(ISNUMBER(VLOOKUP("4.4",A2:W105,13,FALSE)),ROUND(VLOOKUP("4.4",A2:W105,13,FALSE),4),0)</f>
        <v>7234309.0900000036</v>
      </c>
      <c r="N58" s="11">
        <f>IF(ISNUMBER(VLOOKUP("1.1",A2:W105,14,FALSE)),ROUND(VLOOKUP("1.1",A2:W105,14,FALSE),4),0) - IF(ISNUMBER(VLOOKUP("2.1",A2:W105,14,FALSE)),ROUND(VLOOKUP("2.1",A2:W105,14,FALSE),4),0) + IF(ISNUMBER(VLOOKUP("4.2",A2:W105,14,FALSE)),ROUND(VLOOKUP("4.2",A2:W105,14,FALSE),4),0) + IF(ISNUMBER(VLOOKUP("4.4",A2:W105,14,FALSE)),ROUND(VLOOKUP("4.4",A2:W105,14,FALSE),4),0)</f>
        <v>9425353.0900000036</v>
      </c>
      <c r="O58" s="11">
        <f>IF(ISNUMBER(VLOOKUP("1.1",A2:W105,15,FALSE)),ROUND(VLOOKUP("1.1",A2:W105,15,FALSE),4),0) - IF(ISNUMBER(VLOOKUP("2.1",A2:W105,15,FALSE)),ROUND(VLOOKUP("2.1",A2:W105,15,FALSE),4),0) + IF(ISNUMBER(VLOOKUP("4.2",A2:W105,15,FALSE)),ROUND(VLOOKUP("4.2",A2:W105,15,FALSE),4),0) + IF(ISNUMBER(VLOOKUP("4.4",A2:W105,15,FALSE)),ROUND(VLOOKUP("4.4",A2:W105,15,FALSE),4),0)</f>
        <v>11964428.090000004</v>
      </c>
      <c r="P58" s="11">
        <f>IF(ISNUMBER(VLOOKUP("1.1",A2:W105,16,FALSE)),ROUND(VLOOKUP("1.1",A2:W105,16,FALSE),4),0) - IF(ISNUMBER(VLOOKUP("2.1",A2:W105,16,FALSE)),ROUND(VLOOKUP("2.1",A2:W105,16,FALSE),4),0) + IF(ISNUMBER(VLOOKUP("4.2",A2:W105,16,FALSE)),ROUND(VLOOKUP("4.2",A2:W105,16,FALSE),4),0) + IF(ISNUMBER(VLOOKUP("4.4",A2:W105,16,FALSE)),ROUND(VLOOKUP("4.4",A2:W105,16,FALSE),4),0)</f>
        <v>15064275</v>
      </c>
      <c r="Q58" s="11">
        <f>IF(ISNUMBER(VLOOKUP("1.1",A2:W105,17,FALSE)),ROUND(VLOOKUP("1.1",A2:W105,17,FALSE),4),0) - IF(ISNUMBER(VLOOKUP("2.1",A2:W105,17,FALSE)),ROUND(VLOOKUP("2.1",A2:W105,17,FALSE),4),0) + IF(ISNUMBER(VLOOKUP("4.2",A2:W105,17,FALSE)),ROUND(VLOOKUP("4.2",A2:W105,17,FALSE),4),0) + IF(ISNUMBER(VLOOKUP("4.4",A2:W105,17,FALSE)),ROUND(VLOOKUP("4.4",A2:W105,17,FALSE),4),0)</f>
        <v>17490939</v>
      </c>
      <c r="R58" s="11">
        <f>IF(ISNUMBER(VLOOKUP("1.1",A2:W105,18,FALSE)),ROUND(VLOOKUP("1.1",A2:W105,18,FALSE),4),0) - IF(ISNUMBER(VLOOKUP("2.1",A2:W105,18,FALSE)),ROUND(VLOOKUP("2.1",A2:W105,18,FALSE),4),0) + IF(ISNUMBER(VLOOKUP("4.2",A2:W105,18,FALSE)),ROUND(VLOOKUP("4.2",A2:W105,18,FALSE),4),0) + IF(ISNUMBER(VLOOKUP("4.4",A2:W105,18,FALSE)),ROUND(VLOOKUP("4.4",A2:W105,18,FALSE),4),0)</f>
        <v>19559205</v>
      </c>
      <c r="S58" s="11">
        <f>IF(ISNUMBER(VLOOKUP("1.1",A2:W105,19,FALSE)),ROUND(VLOOKUP("1.1",A2:W105,19,FALSE),4),0) - IF(ISNUMBER(VLOOKUP("2.1",A2:W105,19,FALSE)),ROUND(VLOOKUP("2.1",A2:W105,19,FALSE),4),0) + IF(ISNUMBER(VLOOKUP("4.2",A2:W105,19,FALSE)),ROUND(VLOOKUP("4.2",A2:W105,19,FALSE),4),0) + IF(ISNUMBER(VLOOKUP("4.4",A2:W105,19,FALSE)),ROUND(VLOOKUP("4.4",A2:W105,19,FALSE),4),0)</f>
        <v>21364645</v>
      </c>
      <c r="T58" s="11">
        <f>IF(ISNUMBER(VLOOKUP("1.1",A2:W105,20,FALSE)),ROUND(VLOOKUP("1.1",A2:W105,20,FALSE),4),0) - IF(ISNUMBER(VLOOKUP("2.1",A2:W105,20,FALSE)),ROUND(VLOOKUP("2.1",A2:W105,20,FALSE),4),0) + IF(ISNUMBER(VLOOKUP("4.2",A2:W105,20,FALSE)),ROUND(VLOOKUP("4.2",A2:W105,20,FALSE),4),0) + IF(ISNUMBER(VLOOKUP("4.4",A2:W105,20,FALSE)),ROUND(VLOOKUP("4.4",A2:W105,20,FALSE),4),0)</f>
        <v>23058502</v>
      </c>
      <c r="U58" s="11">
        <f>IF(ISNUMBER(VLOOKUP("1.1",A2:W105,21,FALSE)),ROUND(VLOOKUP("1.1",A2:W105,21,FALSE),4),0) - IF(ISNUMBER(VLOOKUP("2.1",A2:W105,21,FALSE)),ROUND(VLOOKUP("2.1",A2:W105,21,FALSE),4),0) + IF(ISNUMBER(VLOOKUP("4.2",A2:W105,21,FALSE)),ROUND(VLOOKUP("4.2",A2:W105,21,FALSE),4),0) + IF(ISNUMBER(VLOOKUP("4.4",A2:W105,21,FALSE)),ROUND(VLOOKUP("4.4",A2:W105,21,FALSE),4),0)</f>
        <v>24627900</v>
      </c>
      <c r="V58" s="11">
        <f>IF(ISNUMBER(VLOOKUP("1.1",A2:W105,22,FALSE)),ROUND(VLOOKUP("1.1",A2:W105,22,FALSE),4),0) - IF(ISNUMBER(VLOOKUP("2.1",A2:W105,22,FALSE)),ROUND(VLOOKUP("2.1",A2:W105,22,FALSE),4),0) + IF(ISNUMBER(VLOOKUP("4.2",A2:W105,22,FALSE)),ROUND(VLOOKUP("4.2",A2:W105,22,FALSE),4),0) + IF(ISNUMBER(VLOOKUP("4.4",A2:W105,22,FALSE)),ROUND(VLOOKUP("4.4",A2:W105,22,FALSE),4),0)</f>
        <v>26098841</v>
      </c>
      <c r="W58" s="11">
        <f>IF(ISNUMBER(VLOOKUP("1.1",A2:W105,23,FALSE)),ROUND(VLOOKUP("1.1",A2:W105,23,FALSE),4),0) - IF(ISNUMBER(VLOOKUP("2.1",A2:W105,23,FALSE)),ROUND(VLOOKUP("2.1",A2:W105,23,FALSE),4),0) + IF(ISNUMBER(VLOOKUP("4.2",A2:W105,23,FALSE)),ROUND(VLOOKUP("4.2",A2:W105,23,FALSE),4),0) + IF(ISNUMBER(VLOOKUP("4.4",A2:W105,23,FALSE)),ROUND(VLOOKUP("4.4",A2:W105,23,FALSE),4),0)</f>
        <v>27383326</v>
      </c>
    </row>
    <row r="59" spans="1:23" ht="14.25" customHeight="1" x14ac:dyDescent="0.3">
      <c r="A59" s="2" t="s">
        <v>131</v>
      </c>
      <c r="B59" s="3" t="s">
        <v>132</v>
      </c>
      <c r="C59" s="24" t="s">
        <v>126</v>
      </c>
      <c r="D59" s="24" t="s">
        <v>126</v>
      </c>
      <c r="E59" s="24" t="s">
        <v>126</v>
      </c>
      <c r="F59" s="24" t="s">
        <v>126</v>
      </c>
      <c r="G59" s="24" t="s">
        <v>126</v>
      </c>
      <c r="H59" s="24" t="s">
        <v>126</v>
      </c>
      <c r="I59" s="24" t="s">
        <v>126</v>
      </c>
      <c r="J59" s="24" t="s">
        <v>126</v>
      </c>
      <c r="K59" s="25" t="s">
        <v>126</v>
      </c>
      <c r="L59" s="25" t="s">
        <v>126</v>
      </c>
      <c r="M59" s="25" t="s">
        <v>126</v>
      </c>
      <c r="N59" s="25" t="s">
        <v>126</v>
      </c>
      <c r="O59" s="25" t="s">
        <v>126</v>
      </c>
      <c r="P59" s="25" t="s">
        <v>126</v>
      </c>
      <c r="Q59" s="25" t="s">
        <v>126</v>
      </c>
      <c r="R59" s="25" t="s">
        <v>126</v>
      </c>
      <c r="S59" s="25" t="s">
        <v>126</v>
      </c>
      <c r="T59" s="25" t="s">
        <v>126</v>
      </c>
      <c r="U59" s="25" t="s">
        <v>126</v>
      </c>
      <c r="V59" s="25" t="s">
        <v>126</v>
      </c>
      <c r="W59" s="25" t="s">
        <v>126</v>
      </c>
    </row>
    <row r="60" spans="1:23" ht="65.7" customHeight="1" x14ac:dyDescent="0.3">
      <c r="A60" s="14" t="s">
        <v>133</v>
      </c>
      <c r="B60" s="15" t="s">
        <v>134</v>
      </c>
      <c r="C60" s="16">
        <f>(IF(ISNUMBER(VLOOKUP("5.1",A2:W105,3,FALSE)),ROUND(VLOOKUP("5.1",A2:W105,3,FALSE),4),0) - IF(ISNUMBER(VLOOKUP("5.1.1",A2:W105,3,FALSE)),ROUND(VLOOKUP("5.1.1",A2:W105,3,FALSE),4),0) + IF(ISNUMBER(VLOOKUP("10.7.2.1",A2:W105,3,FALSE)),ROUND(VLOOKUP("10.7.2.1",A2:W105,3,FALSE),4),0) - IF(ISNUMBER(VLOOKUP("10.9",A2:W105,3,FALSE)),ROUND(VLOOKUP("10.9",A2:W105,3,FALSE),4),0) + IF(ISNUMBER(VLOOKUP("2.1.2",A2:W105,3,FALSE)),ROUND(VLOOKUP("2.1.2",A2:W105,3,FALSE),4),0) - IF(ISNUMBER(VLOOKUP("2.1.2.1",A2:W105,3,FALSE)),ROUND(VLOOKUP("2.1.2.1",A2:W105,3,FALSE),4),0) + IF(ISNUMBER(VLOOKUP("2.1.3",A2:W105,3,FALSE)),ROUND(VLOOKUP("2.1.3",A2:W105,3,FALSE),4),0) - (IF(ISNUMBER(VLOOKUP("2.1.3.1",A2:W105,3,FALSE)),ROUND(VLOOKUP("2.1.3.1",A2:W105,3,FALSE),4),0) + IF(ISNUMBER(VLOOKUP("2.1.3.2",A2:W105,3,FALSE)),ROUND(VLOOKUP("2.1.3.2",A2:W105,3,FALSE),4),0) + IF(ISNA(VLOOKUP("2.1.3.3",A2:W105,3,FALSE)),0,ROUND(VLOOKUP("2.1.3.3",A2:W105,3,FALSE),4))) + IF(ISNUMBER(VLOOKUP("10.4",A2:W105,3,FALSE)),ROUND(VLOOKUP("10.4",A2:W105,3,FALSE),4),0)) / (IF(ISNUMBER(VLOOKUP("1.1",A2:W105,3,FALSE)),ROUND(VLOOKUP("1.1",A2:W105,3,FALSE),4),0) - IF(ISNUMBER(VLOOKUP("1.1.4",A2:W105,3,FALSE)),ROUND(VLOOKUP("1.1.4",A2:W105,3,FALSE),4),0) - IF(ISNA(VLOOKUP("11.1.1",A2:W105,3,FALSE)),0,ROUND(VLOOKUP("11.1.1",A2:W105,3,FALSE),4)))</f>
        <v>1.0936366015546121E-2</v>
      </c>
      <c r="D60" s="16">
        <f>(IF(ISNUMBER(VLOOKUP("5.1",A2:W105,4,FALSE)),ROUND(VLOOKUP("5.1",A2:W105,4,FALSE),4),0) - IF(ISNUMBER(VLOOKUP("5.1.1",A2:W105,4,FALSE)),ROUND(VLOOKUP("5.1.1",A2:W105,4,FALSE),4),0) + IF(ISNUMBER(VLOOKUP("10.7.2.1",A2:W105,4,FALSE)),ROUND(VLOOKUP("10.7.2.1",A2:W105,4,FALSE),4),0) - IF(ISNUMBER(VLOOKUP("10.9",A2:W105,4,FALSE)),ROUND(VLOOKUP("10.9",A2:W105,4,FALSE),4),0) + IF(ISNUMBER(VLOOKUP("2.1.2",A2:W105,4,FALSE)),ROUND(VLOOKUP("2.1.2",A2:W105,4,FALSE),4),0) - IF(ISNUMBER(VLOOKUP("2.1.2.1",A2:W105,4,FALSE)),ROUND(VLOOKUP("2.1.2.1",A2:W105,4,FALSE),4),0) + IF(ISNUMBER(VLOOKUP("2.1.3",A2:W105,4,FALSE)),ROUND(VLOOKUP("2.1.3",A2:W105,4,FALSE),4),0) - (IF(ISNUMBER(VLOOKUP("2.1.3.1",A2:W105,4,FALSE)),ROUND(VLOOKUP("2.1.3.1",A2:W105,4,FALSE),4),0) + IF(ISNUMBER(VLOOKUP("2.1.3.2",A2:W105,4,FALSE)),ROUND(VLOOKUP("2.1.3.2",A2:W105,4,FALSE),4),0) + IF(ISNA(VLOOKUP("2.1.3.3",A2:W105,4,FALSE)),0,ROUND(VLOOKUP("2.1.3.3",A2:W105,4,FALSE),4))) + IF(ISNUMBER(VLOOKUP("10.4",A2:W105,4,FALSE)),ROUND(VLOOKUP("10.4",A2:W105,4,FALSE),4),0)) / (IF(ISNUMBER(VLOOKUP("1.1",A2:W105,4,FALSE)),ROUND(VLOOKUP("1.1",A2:W105,4,FALSE),4),0) - IF(ISNUMBER(VLOOKUP("1.1.4",A2:W105,4,FALSE)),ROUND(VLOOKUP("1.1.4",A2:W105,4,FALSE),4),0) - IF(ISNA(VLOOKUP("11.1.1",A2:W105,4,FALSE)),0,ROUND(VLOOKUP("11.1.1",A2:W105,4,FALSE),4)))</f>
        <v>8.0987815450071256E-3</v>
      </c>
      <c r="E60" s="16">
        <f>(IF(ISNUMBER(VLOOKUP("5.1",A2:W105,5,FALSE)),ROUND(VLOOKUP("5.1",A2:W105,5,FALSE),4),0) - IF(ISNUMBER(VLOOKUP("5.1.1",A2:W105,5,FALSE)),ROUND(VLOOKUP("5.1.1",A2:W105,5,FALSE),4),0) + IF(ISNUMBER(VLOOKUP("10.7.2.1",A2:W105,5,FALSE)),ROUND(VLOOKUP("10.7.2.1",A2:W105,5,FALSE),4),0) - IF(ISNUMBER(VLOOKUP("10.9",A2:W105,5,FALSE)),ROUND(VLOOKUP("10.9",A2:W105,5,FALSE),4),0) + IF(ISNUMBER(VLOOKUP("2.1.2",A2:W105,5,FALSE)),ROUND(VLOOKUP("2.1.2",A2:W105,5,FALSE),4),0) - IF(ISNUMBER(VLOOKUP("2.1.2.1",A2:W105,5,FALSE)),ROUND(VLOOKUP("2.1.2.1",A2:W105,5,FALSE),4),0) + IF(ISNUMBER(VLOOKUP("2.1.3",A2:W105,5,FALSE)),ROUND(VLOOKUP("2.1.3",A2:W105,5,FALSE),4),0) - (IF(ISNUMBER(VLOOKUP("2.1.3.1",A2:W105,5,FALSE)),ROUND(VLOOKUP("2.1.3.1",A2:W105,5,FALSE),4),0) + IF(ISNUMBER(VLOOKUP("2.1.3.2",A2:W105,5,FALSE)),ROUND(VLOOKUP("2.1.3.2",A2:W105,5,FALSE),4),0) + IF(ISNA(VLOOKUP("2.1.3.3",A2:W105,5,FALSE)),0,ROUND(VLOOKUP("2.1.3.3",A2:W105,5,FALSE),4))) + IF(ISNUMBER(VLOOKUP("10.4",A2:W105,5,FALSE)),ROUND(VLOOKUP("10.4",A2:W105,5,FALSE),4),0)) / (IF(ISNUMBER(VLOOKUP("1.1",A2:W105,5,FALSE)),ROUND(VLOOKUP("1.1",A2:W105,5,FALSE),4),0) - IF(ISNUMBER(VLOOKUP("1.1.4",A2:W105,5,FALSE)),ROUND(VLOOKUP("1.1.4",A2:W105,5,FALSE),4),0) - IF(ISNA(VLOOKUP("11.1.1",A2:W105,5,FALSE)),0,ROUND(VLOOKUP("11.1.1",A2:W105,5,FALSE),4)))</f>
        <v>7.198469818431228E-3</v>
      </c>
      <c r="F60" s="16">
        <f>(IF(ISNUMBER(VLOOKUP("5.1",A2:W105,6,FALSE)),ROUND(VLOOKUP("5.1",A2:W105,6,FALSE),4),0) - IF(ISNUMBER(VLOOKUP("5.1.1",A2:W105,6,FALSE)),ROUND(VLOOKUP("5.1.1",A2:W105,6,FALSE),4),0) + IF(ISNUMBER(VLOOKUP("10.7.2.1",A2:W105,6,FALSE)),ROUND(VLOOKUP("10.7.2.1",A2:W105,6,FALSE),4),0) - IF(ISNUMBER(VLOOKUP("10.9",A2:W105,6,FALSE)),ROUND(VLOOKUP("10.9",A2:W105,6,FALSE),4),0) + IF(ISNUMBER(VLOOKUP("2.1.2",A2:W105,6,FALSE)),ROUND(VLOOKUP("2.1.2",A2:W105,6,FALSE),4),0) - IF(ISNUMBER(VLOOKUP("2.1.2.1",A2:W105,6,FALSE)),ROUND(VLOOKUP("2.1.2.1",A2:W105,6,FALSE),4),0) + IF(ISNUMBER(VLOOKUP("2.1.3",A2:W105,6,FALSE)),ROUND(VLOOKUP("2.1.3",A2:W105,6,FALSE),4),0) - (IF(ISNUMBER(VLOOKUP("2.1.3.1",A2:W105,6,FALSE)),ROUND(VLOOKUP("2.1.3.1",A2:W105,6,FALSE),4),0) + IF(ISNUMBER(VLOOKUP("2.1.3.2",A2:W105,6,FALSE)),ROUND(VLOOKUP("2.1.3.2",A2:W105,6,FALSE),4),0) + IF(ISNA(VLOOKUP("2.1.3.3",A2:W105,6,FALSE)),0,ROUND(VLOOKUP("2.1.3.3",A2:W105,6,FALSE),4))) + IF(ISNUMBER(VLOOKUP("10.4",A2:W105,6,FALSE)),ROUND(VLOOKUP("10.4",A2:W105,6,FALSE),4),0)) / (IF(ISNUMBER(VLOOKUP("1.1",A2:W105,6,FALSE)),ROUND(VLOOKUP("1.1",A2:W105,6,FALSE),4),0) - IF(ISNUMBER(VLOOKUP("1.1.4",A2:W105,6,FALSE)),ROUND(VLOOKUP("1.1.4",A2:W105,6,FALSE),4),0) - IF(ISNA(VLOOKUP("11.1.1",A2:W105,6,FALSE)),0,ROUND(VLOOKUP("11.1.1",A2:W105,6,FALSE),4)))</f>
        <v>5.7170861942378359E-2</v>
      </c>
      <c r="G60" s="16">
        <f>(IF(ISNUMBER(VLOOKUP("5.1",A2:W105,7,FALSE)),ROUND(VLOOKUP("5.1",A2:W105,7,FALSE),4),0) - IF(ISNUMBER(VLOOKUP("5.1.1",A2:W105,7,FALSE)),ROUND(VLOOKUP("5.1.1",A2:W105,7,FALSE),4),0) + IF(ISNUMBER(VLOOKUP("10.7.2.1",A2:W105,7,FALSE)),ROUND(VLOOKUP("10.7.2.1",A2:W105,7,FALSE),4),0) - IF(ISNUMBER(VLOOKUP("10.9",A2:W105,7,FALSE)),ROUND(VLOOKUP("10.9",A2:W105,7,FALSE),4),0) + IF(ISNUMBER(VLOOKUP("2.1.2",A2:W105,7,FALSE)),ROUND(VLOOKUP("2.1.2",A2:W105,7,FALSE),4),0) - IF(ISNUMBER(VLOOKUP("2.1.2.1",A2:W105,7,FALSE)),ROUND(VLOOKUP("2.1.2.1",A2:W105,7,FALSE),4),0) + IF(ISNUMBER(VLOOKUP("2.1.3",A2:W105,7,FALSE)),ROUND(VLOOKUP("2.1.3",A2:W105,7,FALSE),4),0) - (IF(ISNUMBER(VLOOKUP("2.1.3.1",A2:W105,7,FALSE)),ROUND(VLOOKUP("2.1.3.1",A2:W105,7,FALSE),4),0) + IF(ISNUMBER(VLOOKUP("2.1.3.2",A2:W105,7,FALSE)),ROUND(VLOOKUP("2.1.3.2",A2:W105,7,FALSE),4),0) + IF(ISNA(VLOOKUP("2.1.3.3",A2:W105,7,FALSE)),0,ROUND(VLOOKUP("2.1.3.3",A2:W105,7,FALSE),4))) + IF(ISNUMBER(VLOOKUP("10.4",A2:W105,7,FALSE)),ROUND(VLOOKUP("10.4",A2:W105,7,FALSE),4),0)) / (IF(ISNUMBER(VLOOKUP("1.1",A2:W105,7,FALSE)),ROUND(VLOOKUP("1.1",A2:W105,7,FALSE),4),0) - IF(ISNUMBER(VLOOKUP("1.1.4",A2:W105,7,FALSE)),ROUND(VLOOKUP("1.1.4",A2:W105,7,FALSE),4),0) - IF(ISNA(VLOOKUP("11.1.1",A2:W105,7,FALSE)),0,ROUND(VLOOKUP("11.1.1",A2:W105,7,FALSE),4)))</f>
        <v>7.5734494621504861E-2</v>
      </c>
      <c r="H60" s="16">
        <f>(IF(ISNUMBER(VLOOKUP("5.1",A2:W105,8,FALSE)),ROUND(VLOOKUP("5.1",A2:W105,8,FALSE),4),0) - IF(ISNUMBER(VLOOKUP("5.1.1",A2:W105,8,FALSE)),ROUND(VLOOKUP("5.1.1",A2:W105,8,FALSE),4),0) + IF(ISNUMBER(VLOOKUP("10.7.2.1",A2:W105,8,FALSE)),ROUND(VLOOKUP("10.7.2.1",A2:W105,8,FALSE),4),0) - IF(ISNUMBER(VLOOKUP("10.9",A2:W105,8,FALSE)),ROUND(VLOOKUP("10.9",A2:W105,8,FALSE),4),0) + IF(ISNUMBER(VLOOKUP("2.1.2",A2:W105,8,FALSE)),ROUND(VLOOKUP("2.1.2",A2:W105,8,FALSE),4),0) - IF(ISNUMBER(VLOOKUP("2.1.2.1",A2:W105,8,FALSE)),ROUND(VLOOKUP("2.1.2.1",A2:W105,8,FALSE),4),0) + IF(ISNUMBER(VLOOKUP("2.1.3",A2:W105,8,FALSE)),ROUND(VLOOKUP("2.1.3",A2:W105,8,FALSE),4),0) - (IF(ISNUMBER(VLOOKUP("2.1.3.1",A2:W105,8,FALSE)),ROUND(VLOOKUP("2.1.3.1",A2:W105,8,FALSE),4),0) + IF(ISNUMBER(VLOOKUP("2.1.3.2",A2:W105,8,FALSE)),ROUND(VLOOKUP("2.1.3.2",A2:W105,8,FALSE),4),0) + IF(ISNA(VLOOKUP("2.1.3.3",A2:W105,8,FALSE)),0,ROUND(VLOOKUP("2.1.3.3",A2:W105,8,FALSE),4))) + IF(ISNUMBER(VLOOKUP("10.4",A2:W105,8,FALSE)),ROUND(VLOOKUP("10.4",A2:W105,8,FALSE),4),0)) / (IF(ISNUMBER(VLOOKUP("1.1",A2:W105,8,FALSE)),ROUND(VLOOKUP("1.1",A2:W105,8,FALSE),4),0) - IF(ISNUMBER(VLOOKUP("1.1.4",A2:W105,8,FALSE)),ROUND(VLOOKUP("1.1.4",A2:W105,8,FALSE),4),0) - IF(ISNA(VLOOKUP("11.1.1",A2:W105,8,FALSE)),0,ROUND(VLOOKUP("11.1.1",A2:W105,8,FALSE),4)))</f>
        <v>7.9586726883679737E-2</v>
      </c>
      <c r="I60" s="16">
        <f>(IF(ISNUMBER(VLOOKUP("5.1",A2:W105,9,FALSE)),ROUND(VLOOKUP("5.1",A2:W105,9,FALSE),4),0) - IF(ISNUMBER(VLOOKUP("5.1.1",A2:W105,9,FALSE)),ROUND(VLOOKUP("5.1.1",A2:W105,9,FALSE),4),0) + IF(ISNUMBER(VLOOKUP("10.7.2.1",A2:W105,9,FALSE)),ROUND(VLOOKUP("10.7.2.1",A2:W105,9,FALSE),4),0) - IF(ISNUMBER(VLOOKUP("10.9",A2:W105,9,FALSE)),ROUND(VLOOKUP("10.9",A2:W105,9,FALSE),4),0) + IF(ISNUMBER(VLOOKUP("2.1.2",A2:W105,9,FALSE)),ROUND(VLOOKUP("2.1.2",A2:W105,9,FALSE),4),0) - IF(ISNUMBER(VLOOKUP("2.1.2.1",A2:W105,9,FALSE)),ROUND(VLOOKUP("2.1.2.1",A2:W105,9,FALSE),4),0) + IF(ISNUMBER(VLOOKUP("2.1.3",A2:W105,9,FALSE)),ROUND(VLOOKUP("2.1.3",A2:W105,9,FALSE),4),0) - (IF(ISNUMBER(VLOOKUP("2.1.3.1",A2:W105,9,FALSE)),ROUND(VLOOKUP("2.1.3.1",A2:W105,9,FALSE),4),0) + IF(ISNUMBER(VLOOKUP("2.1.3.2",A2:W105,9,FALSE)),ROUND(VLOOKUP("2.1.3.2",A2:W105,9,FALSE),4),0) + IF(ISNA(VLOOKUP("2.1.3.3",A2:W105,9,FALSE)),0,ROUND(VLOOKUP("2.1.3.3",A2:W105,9,FALSE),4))) + IF(ISNUMBER(VLOOKUP("10.4",A2:W105,9,FALSE)),ROUND(VLOOKUP("10.4",A2:W105,9,FALSE),4),0)) / (IF(ISNUMBER(VLOOKUP("1.1",A2:W105,9,FALSE)),ROUND(VLOOKUP("1.1",A2:W105,9,FALSE),4),0) - IF(ISNUMBER(VLOOKUP("1.1.4",A2:W105,9,FALSE)),ROUND(VLOOKUP("1.1.4",A2:W105,9,FALSE),4),0) - IF(ISNA(VLOOKUP("11.1.1",A2:W105,9,FALSE)),0,ROUND(VLOOKUP("11.1.1",A2:W105,9,FALSE),4)))</f>
        <v>9.1615554767171842E-2</v>
      </c>
      <c r="J60" s="16">
        <f>(IF(ISNUMBER(VLOOKUP("5.1",A2:W105,10,FALSE)),ROUND(VLOOKUP("5.1",A2:W105,10,FALSE),4),0) - IF(ISNUMBER(VLOOKUP("5.1.1",A2:W105,10,FALSE)),ROUND(VLOOKUP("5.1.1",A2:W105,10,FALSE),4),0) + IF(ISNUMBER(VLOOKUP("10.7.2.1",A2:W105,10,FALSE)),ROUND(VLOOKUP("10.7.2.1",A2:W105,10,FALSE),4),0) - IF(ISNUMBER(VLOOKUP("10.9",A2:W105,10,FALSE)),ROUND(VLOOKUP("10.9",A2:W105,10,FALSE),4),0) + IF(ISNUMBER(VLOOKUP("2.1.2",A2:W105,10,FALSE)),ROUND(VLOOKUP("2.1.2",A2:W105,10,FALSE),4),0) - IF(ISNUMBER(VLOOKUP("2.1.2.1",A2:W105,10,FALSE)),ROUND(VLOOKUP("2.1.2.1",A2:W105,10,FALSE),4),0) + IF(ISNUMBER(VLOOKUP("2.1.3",A2:W105,10,FALSE)),ROUND(VLOOKUP("2.1.3",A2:W105,10,FALSE),4),0) - (IF(ISNUMBER(VLOOKUP("2.1.3.1",A2:W105,10,FALSE)),ROUND(VLOOKUP("2.1.3.1",A2:W105,10,FALSE),4),0) + IF(ISNUMBER(VLOOKUP("2.1.3.2",A2:W105,10,FALSE)),ROUND(VLOOKUP("2.1.3.2",A2:W105,10,FALSE),4),0) + IF(ISNA(VLOOKUP("2.1.3.3",A2:W105,10,FALSE)),0,ROUND(VLOOKUP("2.1.3.3",A2:W105,10,FALSE),4))) + IF(ISNUMBER(VLOOKUP("10.4",A2:W105,10,FALSE)),ROUND(VLOOKUP("10.4",A2:W105,10,FALSE),4),0)) / (IF(ISNUMBER(VLOOKUP("1.1",A2:W105,10,FALSE)),ROUND(VLOOKUP("1.1",A2:W105,10,FALSE),4),0) - IF(ISNUMBER(VLOOKUP("1.1.4",A2:W105,10,FALSE)),ROUND(VLOOKUP("1.1.4",A2:W105,10,FALSE),4),0) - IF(ISNA(VLOOKUP("11.1.1",A2:W105,10,FALSE)),0,ROUND(VLOOKUP("11.1.1",A2:W105,10,FALSE),4)))</f>
        <v>8.6298305382315893E-2</v>
      </c>
      <c r="K60" s="17">
        <f>(IF(ISNUMBER(VLOOKUP("5.1",A2:W105,11,FALSE)),ROUND(VLOOKUP("5.1",A2:W105,11,FALSE),4),0) - IF(ISNUMBER(VLOOKUP("5.1.1",A2:W105,11,FALSE)),ROUND(VLOOKUP("5.1.1",A2:W105,11,FALSE),4),0) + IF(ISNUMBER(VLOOKUP("10.7.2.1",A2:W105,11,FALSE)),ROUND(VLOOKUP("10.7.2.1",A2:W105,11,FALSE),4),0) - IF(ISNUMBER(VLOOKUP("10.9",A2:W105,11,FALSE)),ROUND(VLOOKUP("10.9",A2:W105,11,FALSE),4),0) + IF(ISNUMBER(VLOOKUP("2.1.2",A2:W105,11,FALSE)),ROUND(VLOOKUP("2.1.2",A2:W105,11,FALSE),4),0) - IF(ISNUMBER(VLOOKUP("2.1.2.1",A2:W105,11,FALSE)),ROUND(VLOOKUP("2.1.2.1",A2:W105,11,FALSE),4),0) + IF(ISNUMBER(VLOOKUP("2.1.3",A2:W105,11,FALSE)),ROUND(VLOOKUP("2.1.3",A2:W105,11,FALSE),4),0) - (IF(ISNUMBER(VLOOKUP("2.1.3.1",A2:W105,11,FALSE)),ROUND(VLOOKUP("2.1.3.1",A2:W105,11,FALSE),4),0) + IF(ISNUMBER(VLOOKUP("2.1.3.2",A2:W105,11,FALSE)),ROUND(VLOOKUP("2.1.3.2",A2:W105,11,FALSE),4),0) + IF(ISNA(VLOOKUP("2.1.3.3",A2:W105,11,FALSE)),0,ROUND(VLOOKUP("2.1.3.3",A2:W105,11,FALSE),4))) + IF(ISNUMBER(VLOOKUP("10.4",A2:W105,11,FALSE)),ROUND(VLOOKUP("10.4",A2:W105,11,FALSE),4),0)) / (IF(ISNUMBER(VLOOKUP("1.1",A2:W105,11,FALSE)),ROUND(VLOOKUP("1.1",A2:W105,11,FALSE),4),0) - IF(ISNUMBER(VLOOKUP("1.1.4",A2:W105,11,FALSE)),ROUND(VLOOKUP("1.1.4",A2:W105,11,FALSE),4),0) - IF(ISNA(VLOOKUP("11.1.1",A2:W105,11,FALSE)),0,ROUND(VLOOKUP("11.1.1",A2:W105,11,FALSE),4)))</f>
        <v>8.7265013246992526E-2</v>
      </c>
      <c r="L60" s="17">
        <f>(IF(ISNUMBER(VLOOKUP("5.1",A2:W105,12,FALSE)),ROUND(VLOOKUP("5.1",A2:W105,12,FALSE),4),0) - IF(ISNUMBER(VLOOKUP("5.1.1",A2:W105,12,FALSE)),ROUND(VLOOKUP("5.1.1",A2:W105,12,FALSE),4),0) + IF(ISNUMBER(VLOOKUP("10.7.2.1",A2:W105,12,FALSE)),ROUND(VLOOKUP("10.7.2.1",A2:W105,12,FALSE),4),0) - IF(ISNUMBER(VLOOKUP("10.9",A2:W105,12,FALSE)),ROUND(VLOOKUP("10.9",A2:W105,12,FALSE),4),0) + IF(ISNUMBER(VLOOKUP("2.1.2",A2:W105,12,FALSE)),ROUND(VLOOKUP("2.1.2",A2:W105,12,FALSE),4),0) - IF(ISNUMBER(VLOOKUP("2.1.2.1",A2:W105,12,FALSE)),ROUND(VLOOKUP("2.1.2.1",A2:W105,12,FALSE),4),0) + IF(ISNUMBER(VLOOKUP("2.1.3",A2:W105,12,FALSE)),ROUND(VLOOKUP("2.1.3",A2:W105,12,FALSE),4),0) - (IF(ISNUMBER(VLOOKUP("2.1.3.1",A2:W105,12,FALSE)),ROUND(VLOOKUP("2.1.3.1",A2:W105,12,FALSE),4),0) + IF(ISNUMBER(VLOOKUP("2.1.3.2",A2:W105,12,FALSE)),ROUND(VLOOKUP("2.1.3.2",A2:W105,12,FALSE),4),0) + IF(ISNA(VLOOKUP("2.1.3.3",A2:W105,12,FALSE)),0,ROUND(VLOOKUP("2.1.3.3",A2:W105,12,FALSE),4))) + IF(ISNUMBER(VLOOKUP("10.4",A2:W105,12,FALSE)),ROUND(VLOOKUP("10.4",A2:W105,12,FALSE),4),0)) / (IF(ISNUMBER(VLOOKUP("1.1",A2:W105,12,FALSE)),ROUND(VLOOKUP("1.1",A2:W105,12,FALSE),4),0) - IF(ISNUMBER(VLOOKUP("1.1.4",A2:W105,12,FALSE)),ROUND(VLOOKUP("1.1.4",A2:W105,12,FALSE),4),0) - IF(ISNA(VLOOKUP("11.1.1",A2:W105,12,FALSE)),0,ROUND(VLOOKUP("11.1.1",A2:W105,12,FALSE),4)))</f>
        <v>6.9383369740672676E-2</v>
      </c>
      <c r="M60" s="17">
        <f>(IF(ISNUMBER(VLOOKUP("5.1",A2:W105,13,FALSE)),ROUND(VLOOKUP("5.1",A2:W105,13,FALSE),4),0) - IF(ISNUMBER(VLOOKUP("5.1.1",A2:W105,13,FALSE)),ROUND(VLOOKUP("5.1.1",A2:W105,13,FALSE),4),0) + IF(ISNUMBER(VLOOKUP("10.7.2.1",A2:W105,13,FALSE)),ROUND(VLOOKUP("10.7.2.1",A2:W105,13,FALSE),4),0) - IF(ISNUMBER(VLOOKUP("10.9",A2:W105,13,FALSE)),ROUND(VLOOKUP("10.9",A2:W105,13,FALSE),4),0) + IF(ISNUMBER(VLOOKUP("2.1.2",A2:W105,13,FALSE)),ROUND(VLOOKUP("2.1.2",A2:W105,13,FALSE),4),0) - IF(ISNUMBER(VLOOKUP("2.1.2.1",A2:W105,13,FALSE)),ROUND(VLOOKUP("2.1.2.1",A2:W105,13,FALSE),4),0) + IF(ISNUMBER(VLOOKUP("2.1.3",A2:W105,13,FALSE)),ROUND(VLOOKUP("2.1.3",A2:W105,13,FALSE),4),0) - (IF(ISNUMBER(VLOOKUP("2.1.3.1",A2:W105,13,FALSE)),ROUND(VLOOKUP("2.1.3.1",A2:W105,13,FALSE),4),0) + IF(ISNUMBER(VLOOKUP("2.1.3.2",A2:W105,13,FALSE)),ROUND(VLOOKUP("2.1.3.2",A2:W105,13,FALSE),4),0) + IF(ISNA(VLOOKUP("2.1.3.3",A2:W105,13,FALSE)),0,ROUND(VLOOKUP("2.1.3.3",A2:W105,13,FALSE),4))) + IF(ISNUMBER(VLOOKUP("10.4",A2:W105,13,FALSE)),ROUND(VLOOKUP("10.4",A2:W105,13,FALSE),4),0)) / (IF(ISNUMBER(VLOOKUP("1.1",A2:W105,13,FALSE)),ROUND(VLOOKUP("1.1",A2:W105,13,FALSE),4),0) - IF(ISNUMBER(VLOOKUP("1.1.4",A2:W105,13,FALSE)),ROUND(VLOOKUP("1.1.4",A2:W105,13,FALSE),4),0) - IF(ISNA(VLOOKUP("11.1.1",A2:W105,13,FALSE)),0,ROUND(VLOOKUP("11.1.1",A2:W105,13,FALSE),4)))</f>
        <v>9.0457441338675712E-2</v>
      </c>
      <c r="N60" s="17">
        <f>(IF(ISNUMBER(VLOOKUP("5.1",A2:W105,14,FALSE)),ROUND(VLOOKUP("5.1",A2:W105,14,FALSE),4),0) - IF(ISNUMBER(VLOOKUP("5.1.1",A2:W105,14,FALSE)),ROUND(VLOOKUP("5.1.1",A2:W105,14,FALSE),4),0) + IF(ISNUMBER(VLOOKUP("10.7.2.1",A2:W105,14,FALSE)),ROUND(VLOOKUP("10.7.2.1",A2:W105,14,FALSE),4),0) - IF(ISNUMBER(VLOOKUP("10.9",A2:W105,14,FALSE)),ROUND(VLOOKUP("10.9",A2:W105,14,FALSE),4),0) + IF(ISNUMBER(VLOOKUP("2.1.2",A2:W105,14,FALSE)),ROUND(VLOOKUP("2.1.2",A2:W105,14,FALSE),4),0) - IF(ISNUMBER(VLOOKUP("2.1.2.1",A2:W105,14,FALSE)),ROUND(VLOOKUP("2.1.2.1",A2:W105,14,FALSE),4),0) + IF(ISNUMBER(VLOOKUP("2.1.3",A2:W105,14,FALSE)),ROUND(VLOOKUP("2.1.3",A2:W105,14,FALSE),4),0) - (IF(ISNUMBER(VLOOKUP("2.1.3.1",A2:W105,14,FALSE)),ROUND(VLOOKUP("2.1.3.1",A2:W105,14,FALSE),4),0) + IF(ISNUMBER(VLOOKUP("2.1.3.2",A2:W105,14,FALSE)),ROUND(VLOOKUP("2.1.3.2",A2:W105,14,FALSE),4),0) + IF(ISNA(VLOOKUP("2.1.3.3",A2:W105,14,FALSE)),0,ROUND(VLOOKUP("2.1.3.3",A2:W105,14,FALSE),4))) + IF(ISNUMBER(VLOOKUP("10.4",A2:W105,14,FALSE)),ROUND(VLOOKUP("10.4",A2:W105,14,FALSE),4),0)) / (IF(ISNUMBER(VLOOKUP("1.1",A2:W105,14,FALSE)),ROUND(VLOOKUP("1.1",A2:W105,14,FALSE),4),0) - IF(ISNUMBER(VLOOKUP("1.1.4",A2:W105,14,FALSE)),ROUND(VLOOKUP("1.1.4",A2:W105,14,FALSE),4),0) - IF(ISNA(VLOOKUP("11.1.1",A2:W105,14,FALSE)),0,ROUND(VLOOKUP("11.1.1",A2:W105,14,FALSE),4)))</f>
        <v>9.2996142762195685E-2</v>
      </c>
      <c r="O60" s="17">
        <f>(IF(ISNUMBER(VLOOKUP("5.1",A2:W105,15,FALSE)),ROUND(VLOOKUP("5.1",A2:W105,15,FALSE),4),0) - IF(ISNUMBER(VLOOKUP("5.1.1",A2:W105,15,FALSE)),ROUND(VLOOKUP("5.1.1",A2:W105,15,FALSE),4),0) + IF(ISNUMBER(VLOOKUP("10.7.2.1",A2:W105,15,FALSE)),ROUND(VLOOKUP("10.7.2.1",A2:W105,15,FALSE),4),0) - IF(ISNUMBER(VLOOKUP("10.9",A2:W105,15,FALSE)),ROUND(VLOOKUP("10.9",A2:W105,15,FALSE),4),0) + IF(ISNUMBER(VLOOKUP("2.1.2",A2:W105,15,FALSE)),ROUND(VLOOKUP("2.1.2",A2:W105,15,FALSE),4),0) - IF(ISNUMBER(VLOOKUP("2.1.2.1",A2:W105,15,FALSE)),ROUND(VLOOKUP("2.1.2.1",A2:W105,15,FALSE),4),0) + IF(ISNUMBER(VLOOKUP("2.1.3",A2:W105,15,FALSE)),ROUND(VLOOKUP("2.1.3",A2:W105,15,FALSE),4),0) - (IF(ISNUMBER(VLOOKUP("2.1.3.1",A2:W105,15,FALSE)),ROUND(VLOOKUP("2.1.3.1",A2:W105,15,FALSE),4),0) + IF(ISNUMBER(VLOOKUP("2.1.3.2",A2:W105,15,FALSE)),ROUND(VLOOKUP("2.1.3.2",A2:W105,15,FALSE),4),0) + IF(ISNA(VLOOKUP("2.1.3.3",A2:W105,15,FALSE)),0,ROUND(VLOOKUP("2.1.3.3",A2:W105,15,FALSE),4))) + IF(ISNUMBER(VLOOKUP("10.4",A2:W105,15,FALSE)),ROUND(VLOOKUP("10.4",A2:W105,15,FALSE),4),0)) / (IF(ISNUMBER(VLOOKUP("1.1",A2:W105,15,FALSE)),ROUND(VLOOKUP("1.1",A2:W105,15,FALSE),4),0) - IF(ISNUMBER(VLOOKUP("1.1.4",A2:W105,15,FALSE)),ROUND(VLOOKUP("1.1.4",A2:W105,15,FALSE),4),0) - IF(ISNA(VLOOKUP("11.1.1",A2:W105,15,FALSE)),0,ROUND(VLOOKUP("11.1.1",A2:W105,15,FALSE),4)))</f>
        <v>6.3504840190603762E-2</v>
      </c>
      <c r="P60" s="17">
        <f>(IF(ISNUMBER(VLOOKUP("5.1",A2:W105,16,FALSE)),ROUND(VLOOKUP("5.1",A2:W105,16,FALSE),4),0) - IF(ISNUMBER(VLOOKUP("5.1.1",A2:W105,16,FALSE)),ROUND(VLOOKUP("5.1.1",A2:W105,16,FALSE),4),0) + IF(ISNUMBER(VLOOKUP("10.7.2.1",A2:W105,16,FALSE)),ROUND(VLOOKUP("10.7.2.1",A2:W105,16,FALSE),4),0) - IF(ISNUMBER(VLOOKUP("10.9",A2:W105,16,FALSE)),ROUND(VLOOKUP("10.9",A2:W105,16,FALSE),4),0) + IF(ISNUMBER(VLOOKUP("2.1.2",A2:W105,16,FALSE)),ROUND(VLOOKUP("2.1.2",A2:W105,16,FALSE),4),0) - IF(ISNUMBER(VLOOKUP("2.1.2.1",A2:W105,16,FALSE)),ROUND(VLOOKUP("2.1.2.1",A2:W105,16,FALSE),4),0) + IF(ISNUMBER(VLOOKUP("2.1.3",A2:W105,16,FALSE)),ROUND(VLOOKUP("2.1.3",A2:W105,16,FALSE),4),0) - (IF(ISNUMBER(VLOOKUP("2.1.3.1",A2:W105,16,FALSE)),ROUND(VLOOKUP("2.1.3.1",A2:W105,16,FALSE),4),0) + IF(ISNUMBER(VLOOKUP("2.1.3.2",A2:W105,16,FALSE)),ROUND(VLOOKUP("2.1.3.2",A2:W105,16,FALSE),4),0) + IF(ISNA(VLOOKUP("2.1.3.3",A2:W105,16,FALSE)),0,ROUND(VLOOKUP("2.1.3.3",A2:W105,16,FALSE),4))) + IF(ISNUMBER(VLOOKUP("10.4",A2:W105,16,FALSE)),ROUND(VLOOKUP("10.4",A2:W105,16,FALSE),4),0)) / (IF(ISNUMBER(VLOOKUP("1.1",A2:W105,16,FALSE)),ROUND(VLOOKUP("1.1",A2:W105,16,FALSE),4),0) - IF(ISNUMBER(VLOOKUP("1.1.4",A2:W105,16,FALSE)),ROUND(VLOOKUP("1.1.4",A2:W105,16,FALSE),4),0) - IF(ISNA(VLOOKUP("11.1.1",A2:W105,16,FALSE)),0,ROUND(VLOOKUP("11.1.1",A2:W105,16,FALSE),4)))</f>
        <v>6.5161801865194338E-2</v>
      </c>
      <c r="Q60" s="17">
        <f>(IF(ISNUMBER(VLOOKUP("5.1",A2:W105,17,FALSE)),ROUND(VLOOKUP("5.1",A2:W105,17,FALSE),4),0) - IF(ISNUMBER(VLOOKUP("5.1.1",A2:W105,17,FALSE)),ROUND(VLOOKUP("5.1.1",A2:W105,17,FALSE),4),0) + IF(ISNUMBER(VLOOKUP("10.7.2.1",A2:W105,17,FALSE)),ROUND(VLOOKUP("10.7.2.1",A2:W105,17,FALSE),4),0) - IF(ISNUMBER(VLOOKUP("10.9",A2:W105,17,FALSE)),ROUND(VLOOKUP("10.9",A2:W105,17,FALSE),4),0) + IF(ISNUMBER(VLOOKUP("2.1.2",A2:W105,17,FALSE)),ROUND(VLOOKUP("2.1.2",A2:W105,17,FALSE),4),0) - IF(ISNUMBER(VLOOKUP("2.1.2.1",A2:W105,17,FALSE)),ROUND(VLOOKUP("2.1.2.1",A2:W105,17,FALSE),4),0) + IF(ISNUMBER(VLOOKUP("2.1.3",A2:W105,17,FALSE)),ROUND(VLOOKUP("2.1.3",A2:W105,17,FALSE),4),0) - (IF(ISNUMBER(VLOOKUP("2.1.3.1",A2:W105,17,FALSE)),ROUND(VLOOKUP("2.1.3.1",A2:W105,17,FALSE),4),0) + IF(ISNUMBER(VLOOKUP("2.1.3.2",A2:W105,17,FALSE)),ROUND(VLOOKUP("2.1.3.2",A2:W105,17,FALSE),4),0) + IF(ISNA(VLOOKUP("2.1.3.3",A2:W105,17,FALSE)),0,ROUND(VLOOKUP("2.1.3.3",A2:W105,17,FALSE),4))) + IF(ISNUMBER(VLOOKUP("10.4",A2:W105,17,FALSE)),ROUND(VLOOKUP("10.4",A2:W105,17,FALSE),4),0)) / (IF(ISNUMBER(VLOOKUP("1.1",A2:W105,17,FALSE)),ROUND(VLOOKUP("1.1",A2:W105,17,FALSE),4),0) - IF(ISNUMBER(VLOOKUP("1.1.4",A2:W105,17,FALSE)),ROUND(VLOOKUP("1.1.4",A2:W105,17,FALSE),4),0) - IF(ISNA(VLOOKUP("11.1.1",A2:W105,17,FALSE)),0,ROUND(VLOOKUP("11.1.1",A2:W105,17,FALSE),4)))</f>
        <v>3.8496032315084222E-2</v>
      </c>
      <c r="R60" s="17">
        <f>(IF(ISNUMBER(VLOOKUP("5.1",A2:W105,18,FALSE)),ROUND(VLOOKUP("5.1",A2:W105,18,FALSE),4),0) - IF(ISNUMBER(VLOOKUP("5.1.1",A2:W105,18,FALSE)),ROUND(VLOOKUP("5.1.1",A2:W105,18,FALSE),4),0) + IF(ISNUMBER(VLOOKUP("10.7.2.1",A2:W105,18,FALSE)),ROUND(VLOOKUP("10.7.2.1",A2:W105,18,FALSE),4),0) - IF(ISNUMBER(VLOOKUP("10.9",A2:W105,18,FALSE)),ROUND(VLOOKUP("10.9",A2:W105,18,FALSE),4),0) + IF(ISNUMBER(VLOOKUP("2.1.2",A2:W105,18,FALSE)),ROUND(VLOOKUP("2.1.2",A2:W105,18,FALSE),4),0) - IF(ISNUMBER(VLOOKUP("2.1.2.1",A2:W105,18,FALSE)),ROUND(VLOOKUP("2.1.2.1",A2:W105,18,FALSE),4),0) + IF(ISNUMBER(VLOOKUP("2.1.3",A2:W105,18,FALSE)),ROUND(VLOOKUP("2.1.3",A2:W105,18,FALSE),4),0) - (IF(ISNUMBER(VLOOKUP("2.1.3.1",A2:W105,18,FALSE)),ROUND(VLOOKUP("2.1.3.1",A2:W105,18,FALSE),4),0) + IF(ISNUMBER(VLOOKUP("2.1.3.2",A2:W105,18,FALSE)),ROUND(VLOOKUP("2.1.3.2",A2:W105,18,FALSE),4),0) + IF(ISNA(VLOOKUP("2.1.3.3",A2:W105,18,FALSE)),0,ROUND(VLOOKUP("2.1.3.3",A2:W105,18,FALSE),4))) + IF(ISNUMBER(VLOOKUP("10.4",A2:W105,18,FALSE)),ROUND(VLOOKUP("10.4",A2:W105,18,FALSE),4),0)) / (IF(ISNUMBER(VLOOKUP("1.1",A2:W105,18,FALSE)),ROUND(VLOOKUP("1.1",A2:W105,18,FALSE),4),0) - IF(ISNUMBER(VLOOKUP("1.1.4",A2:W105,18,FALSE)),ROUND(VLOOKUP("1.1.4",A2:W105,18,FALSE),4),0) - IF(ISNA(VLOOKUP("11.1.1",A2:W105,18,FALSE)),0,ROUND(VLOOKUP("11.1.1",A2:W105,18,FALSE),4)))</f>
        <v>3.6323992538292334E-2</v>
      </c>
      <c r="S60" s="17">
        <f>(IF(ISNUMBER(VLOOKUP("5.1",A2:W105,19,FALSE)),ROUND(VLOOKUP("5.1",A2:W105,19,FALSE),4),0) - IF(ISNUMBER(VLOOKUP("5.1.1",A2:W105,19,FALSE)),ROUND(VLOOKUP("5.1.1",A2:W105,19,FALSE),4),0) + IF(ISNUMBER(VLOOKUP("10.7.2.1",A2:W105,19,FALSE)),ROUND(VLOOKUP("10.7.2.1",A2:W105,19,FALSE),4),0) - IF(ISNUMBER(VLOOKUP("10.9",A2:W105,19,FALSE)),ROUND(VLOOKUP("10.9",A2:W105,19,FALSE),4),0) + IF(ISNUMBER(VLOOKUP("2.1.2",A2:W105,19,FALSE)),ROUND(VLOOKUP("2.1.2",A2:W105,19,FALSE),4),0) - IF(ISNUMBER(VLOOKUP("2.1.2.1",A2:W105,19,FALSE)),ROUND(VLOOKUP("2.1.2.1",A2:W105,19,FALSE),4),0) + IF(ISNUMBER(VLOOKUP("2.1.3",A2:W105,19,FALSE)),ROUND(VLOOKUP("2.1.3",A2:W105,19,FALSE),4),0) - (IF(ISNUMBER(VLOOKUP("2.1.3.1",A2:W105,19,FALSE)),ROUND(VLOOKUP("2.1.3.1",A2:W105,19,FALSE),4),0) + IF(ISNUMBER(VLOOKUP("2.1.3.2",A2:W105,19,FALSE)),ROUND(VLOOKUP("2.1.3.2",A2:W105,19,FALSE),4),0) + IF(ISNA(VLOOKUP("2.1.3.3",A2:W105,19,FALSE)),0,ROUND(VLOOKUP("2.1.3.3",A2:W105,19,FALSE),4))) + IF(ISNUMBER(VLOOKUP("10.4",A2:W105,19,FALSE)),ROUND(VLOOKUP("10.4",A2:W105,19,FALSE),4),0)) / (IF(ISNUMBER(VLOOKUP("1.1",A2:W105,19,FALSE)),ROUND(VLOOKUP("1.1",A2:W105,19,FALSE),4),0) - IF(ISNUMBER(VLOOKUP("1.1.4",A2:W105,19,FALSE)),ROUND(VLOOKUP("1.1.4",A2:W105,19,FALSE),4),0) - IF(ISNA(VLOOKUP("11.1.1",A2:W105,19,FALSE)),0,ROUND(VLOOKUP("11.1.1",A2:W105,19,FALSE),4)))</f>
        <v>3.4314331992251881E-2</v>
      </c>
      <c r="T60" s="17">
        <f>(IF(ISNUMBER(VLOOKUP("5.1",A2:W105,20,FALSE)),ROUND(VLOOKUP("5.1",A2:W105,20,FALSE),4),0) - IF(ISNUMBER(VLOOKUP("5.1.1",A2:W105,20,FALSE)),ROUND(VLOOKUP("5.1.1",A2:W105,20,FALSE),4),0) + IF(ISNUMBER(VLOOKUP("10.7.2.1",A2:W105,20,FALSE)),ROUND(VLOOKUP("10.7.2.1",A2:W105,20,FALSE),4),0) - IF(ISNUMBER(VLOOKUP("10.9",A2:W105,20,FALSE)),ROUND(VLOOKUP("10.9",A2:W105,20,FALSE),4),0) + IF(ISNUMBER(VLOOKUP("2.1.2",A2:W105,20,FALSE)),ROUND(VLOOKUP("2.1.2",A2:W105,20,FALSE),4),0) - IF(ISNUMBER(VLOOKUP("2.1.2.1",A2:W105,20,FALSE)),ROUND(VLOOKUP("2.1.2.1",A2:W105,20,FALSE),4),0) + IF(ISNUMBER(VLOOKUP("2.1.3",A2:W105,20,FALSE)),ROUND(VLOOKUP("2.1.3",A2:W105,20,FALSE),4),0) - (IF(ISNUMBER(VLOOKUP("2.1.3.1",A2:W105,20,FALSE)),ROUND(VLOOKUP("2.1.3.1",A2:W105,20,FALSE),4),0) + IF(ISNUMBER(VLOOKUP("2.1.3.2",A2:W105,20,FALSE)),ROUND(VLOOKUP("2.1.3.2",A2:W105,20,FALSE),4),0) + IF(ISNA(VLOOKUP("2.1.3.3",A2:W105,20,FALSE)),0,ROUND(VLOOKUP("2.1.3.3",A2:W105,20,FALSE),4))) + IF(ISNUMBER(VLOOKUP("10.4",A2:W105,20,FALSE)),ROUND(VLOOKUP("10.4",A2:W105,20,FALSE),4),0)) / (IF(ISNUMBER(VLOOKUP("1.1",A2:W105,20,FALSE)),ROUND(VLOOKUP("1.1",A2:W105,20,FALSE),4),0) - IF(ISNUMBER(VLOOKUP("1.1.4",A2:W105,20,FALSE)),ROUND(VLOOKUP("1.1.4",A2:W105,20,FALSE),4),0) - IF(ISNA(VLOOKUP("11.1.1",A2:W105,20,FALSE)),0,ROUND(VLOOKUP("11.1.1",A2:W105,20,FALSE),4)))</f>
        <v>3.2420602789103491E-2</v>
      </c>
      <c r="U60" s="17">
        <f>(IF(ISNUMBER(VLOOKUP("5.1",A2:W105,21,FALSE)),ROUND(VLOOKUP("5.1",A2:W105,21,FALSE),4),0) - IF(ISNUMBER(VLOOKUP("5.1.1",A2:W105,21,FALSE)),ROUND(VLOOKUP("5.1.1",A2:W105,21,FALSE),4),0) + IF(ISNUMBER(VLOOKUP("10.7.2.1",A2:W105,21,FALSE)),ROUND(VLOOKUP("10.7.2.1",A2:W105,21,FALSE),4),0) - IF(ISNUMBER(VLOOKUP("10.9",A2:W105,21,FALSE)),ROUND(VLOOKUP("10.9",A2:W105,21,FALSE),4),0) + IF(ISNUMBER(VLOOKUP("2.1.2",A2:W105,21,FALSE)),ROUND(VLOOKUP("2.1.2",A2:W105,21,FALSE),4),0) - IF(ISNUMBER(VLOOKUP("2.1.2.1",A2:W105,21,FALSE)),ROUND(VLOOKUP("2.1.2.1",A2:W105,21,FALSE),4),0) + IF(ISNUMBER(VLOOKUP("2.1.3",A2:W105,21,FALSE)),ROUND(VLOOKUP("2.1.3",A2:W105,21,FALSE),4),0) - (IF(ISNUMBER(VLOOKUP("2.1.3.1",A2:W105,21,FALSE)),ROUND(VLOOKUP("2.1.3.1",A2:W105,21,FALSE),4),0) + IF(ISNUMBER(VLOOKUP("2.1.3.2",A2:W105,21,FALSE)),ROUND(VLOOKUP("2.1.3.2",A2:W105,21,FALSE),4),0) + IF(ISNA(VLOOKUP("2.1.3.3",A2:W105,21,FALSE)),0,ROUND(VLOOKUP("2.1.3.3",A2:W105,21,FALSE),4))) + IF(ISNUMBER(VLOOKUP("10.4",A2:W105,21,FALSE)),ROUND(VLOOKUP("10.4",A2:W105,21,FALSE),4),0)) / (IF(ISNUMBER(VLOOKUP("1.1",A2:W105,21,FALSE)),ROUND(VLOOKUP("1.1",A2:W105,21,FALSE),4),0) - IF(ISNUMBER(VLOOKUP("1.1.4",A2:W105,21,FALSE)),ROUND(VLOOKUP("1.1.4",A2:W105,21,FALSE),4),0) - IF(ISNA(VLOOKUP("11.1.1",A2:W105,21,FALSE)),0,ROUND(VLOOKUP("11.1.1",A2:W105,21,FALSE),4)))</f>
        <v>3.0634376838204847E-2</v>
      </c>
      <c r="V60" s="17">
        <f>(IF(ISNUMBER(VLOOKUP("5.1",A2:W105,22,FALSE)),ROUND(VLOOKUP("5.1",A2:W105,22,FALSE),4),0) - IF(ISNUMBER(VLOOKUP("5.1.1",A2:W105,22,FALSE)),ROUND(VLOOKUP("5.1.1",A2:W105,22,FALSE),4),0) + IF(ISNUMBER(VLOOKUP("10.7.2.1",A2:W105,22,FALSE)),ROUND(VLOOKUP("10.7.2.1",A2:W105,22,FALSE),4),0) - IF(ISNUMBER(VLOOKUP("10.9",A2:W105,22,FALSE)),ROUND(VLOOKUP("10.9",A2:W105,22,FALSE),4),0) + IF(ISNUMBER(VLOOKUP("2.1.2",A2:W105,22,FALSE)),ROUND(VLOOKUP("2.1.2",A2:W105,22,FALSE),4),0) - IF(ISNUMBER(VLOOKUP("2.1.2.1",A2:W105,22,FALSE)),ROUND(VLOOKUP("2.1.2.1",A2:W105,22,FALSE),4),0) + IF(ISNUMBER(VLOOKUP("2.1.3",A2:W105,22,FALSE)),ROUND(VLOOKUP("2.1.3",A2:W105,22,FALSE),4),0) - (IF(ISNUMBER(VLOOKUP("2.1.3.1",A2:W105,22,FALSE)),ROUND(VLOOKUP("2.1.3.1",A2:W105,22,FALSE),4),0) + IF(ISNUMBER(VLOOKUP("2.1.3.2",A2:W105,22,FALSE)),ROUND(VLOOKUP("2.1.3.2",A2:W105,22,FALSE),4),0) + IF(ISNA(VLOOKUP("2.1.3.3",A2:W105,22,FALSE)),0,ROUND(VLOOKUP("2.1.3.3",A2:W105,22,FALSE),4))) + IF(ISNUMBER(VLOOKUP("10.4",A2:W105,22,FALSE)),ROUND(VLOOKUP("10.4",A2:W105,22,FALSE),4),0)) / (IF(ISNUMBER(VLOOKUP("1.1",A2:W105,22,FALSE)),ROUND(VLOOKUP("1.1",A2:W105,22,FALSE),4),0) - IF(ISNUMBER(VLOOKUP("1.1.4",A2:W105,22,FALSE)),ROUND(VLOOKUP("1.1.4",A2:W105,22,FALSE),4),0) - IF(ISNA(VLOOKUP("11.1.1",A2:W105,22,FALSE)),0,ROUND(VLOOKUP("11.1.1",A2:W105,22,FALSE),4)))</f>
        <v>2.8947849944414853E-2</v>
      </c>
      <c r="W60" s="17">
        <f>(IF(ISNUMBER(VLOOKUP("5.1",A2:W105,23,FALSE)),ROUND(VLOOKUP("5.1",A2:W105,23,FALSE),4),0) - IF(ISNUMBER(VLOOKUP("5.1.1",A2:W105,23,FALSE)),ROUND(VLOOKUP("5.1.1",A2:W105,23,FALSE),4),0) + IF(ISNUMBER(VLOOKUP("10.7.2.1",A2:W105,23,FALSE)),ROUND(VLOOKUP("10.7.2.1",A2:W105,23,FALSE),4),0) - IF(ISNUMBER(VLOOKUP("10.9",A2:W105,23,FALSE)),ROUND(VLOOKUP("10.9",A2:W105,23,FALSE),4),0) + IF(ISNUMBER(VLOOKUP("2.1.2",A2:W105,23,FALSE)),ROUND(VLOOKUP("2.1.2",A2:W105,23,FALSE),4),0) - IF(ISNUMBER(VLOOKUP("2.1.2.1",A2:W105,23,FALSE)),ROUND(VLOOKUP("2.1.2.1",A2:W105,23,FALSE),4),0) + IF(ISNUMBER(VLOOKUP("2.1.3",A2:W105,23,FALSE)),ROUND(VLOOKUP("2.1.3",A2:W105,23,FALSE),4),0) - (IF(ISNUMBER(VLOOKUP("2.1.3.1",A2:W105,23,FALSE)),ROUND(VLOOKUP("2.1.3.1",A2:W105,23,FALSE),4),0) + IF(ISNUMBER(VLOOKUP("2.1.3.2",A2:W105,23,FALSE)),ROUND(VLOOKUP("2.1.3.2",A2:W105,23,FALSE),4),0) + IF(ISNA(VLOOKUP("2.1.3.3",A2:W105,23,FALSE)),0,ROUND(VLOOKUP("2.1.3.3",A2:W105,23,FALSE),4))) + IF(ISNUMBER(VLOOKUP("10.4",A2:W105,23,FALSE)),ROUND(VLOOKUP("10.4",A2:W105,23,FALSE),4),0)) / (IF(ISNUMBER(VLOOKUP("1.1",A2:W105,23,FALSE)),ROUND(VLOOKUP("1.1",A2:W105,23,FALSE),4),0) - IF(ISNUMBER(VLOOKUP("1.1.4",A2:W105,23,FALSE)),ROUND(VLOOKUP("1.1.4",A2:W105,23,FALSE),4),0) - IF(ISNA(VLOOKUP("11.1.1",A2:W105,23,FALSE)),0,ROUND(VLOOKUP("11.1.1",A2:W105,23,FALSE),4)))</f>
        <v>1.4827903181331571E-2</v>
      </c>
    </row>
    <row r="61" spans="1:23" ht="39.9" customHeight="1" x14ac:dyDescent="0.3">
      <c r="A61" s="14" t="s">
        <v>135</v>
      </c>
      <c r="B61" s="15" t="s">
        <v>136</v>
      </c>
      <c r="C61" s="16">
        <f>((IF(ISNUMBER(VLOOKUP("1.1",A2:W105,3,FALSE)),ROUND(VLOOKUP("1.1",A2:W105,3,FALSE),4),0) - IF(ISNUMBER(VLOOKUP("9.1.1",A2:W105,3,FALSE)),ROUND(VLOOKUP("9.1.1",A2:W105,3,FALSE),4),0) - IF(ISNA(VLOOKUP("11.1.1",A2:W105,3,FALSE)),0,ROUND(VLOOKUP("11.1.1",A2:W105,3,FALSE),4))) - (IF(ISNUMBER(VLOOKUP("2.1",A2:W105,3,FALSE)),ROUND(VLOOKUP("2.1",A2:W105,3,FALSE),4),0) - IF(ISNUMBER(VLOOKUP("9.3.1",A2:W105,3,FALSE)),ROUND(VLOOKUP("9.3.1",A2:W105,3,FALSE),4),0) - IF(ISNUMBER(VLOOKUP("10.7.2.1.1",A2:W105,3,FALSE)),ROUND(VLOOKUP("10.7.2.1.1",A2:W105,3,FALSE),4),0) - IF(ISNUMBER(VLOOKUP("2.1.3",A2:W105,3,FALSE)),ROUND(VLOOKUP("2.1.3",A2:W105,3,FALSE),4),0) - IF(ISNA(VLOOKUP("10.11",A2:W105,3,FALSE)),0,ROUND(VLOOKUP("10.11",A2:W105,3,FALSE),4)))) / (IF(ISNUMBER(VLOOKUP("1.1",A2:W105,3,FALSE)),ROUND(VLOOKUP("1.1",A2:W105,3,FALSE),4),0) - IF(ISNUMBER(VLOOKUP("1.1.4",A2:W105,3,FALSE)),ROUND(VLOOKUP("1.1.4",A2:W105,3,FALSE),4),0) - IF(ISNA(VLOOKUP("11.1.1",A2:W105,3,FALSE)),0,ROUND(VLOOKUP("11.1.1",A2:W105,3,FALSE),4)))</f>
        <v>0.17287947404555407</v>
      </c>
      <c r="D61" s="16">
        <f>((IF(ISNUMBER(VLOOKUP("1.1",A2:W105,4,FALSE)),ROUND(VLOOKUP("1.1",A2:W105,4,FALSE),4),0) - IF(ISNUMBER(VLOOKUP("9.1.1",A2:W105,4,FALSE)),ROUND(VLOOKUP("9.1.1",A2:W105,4,FALSE),4),0) - IF(ISNA(VLOOKUP("11.1.1",A2:W105,4,FALSE)),0,ROUND(VLOOKUP("11.1.1",A2:W105,4,FALSE),4))) - (IF(ISNUMBER(VLOOKUP("2.1",A2:W105,4,FALSE)),ROUND(VLOOKUP("2.1",A2:W105,4,FALSE),4),0) - IF(ISNUMBER(VLOOKUP("9.3.1",A2:W105,4,FALSE)),ROUND(VLOOKUP("9.3.1",A2:W105,4,FALSE),4),0) - IF(ISNUMBER(VLOOKUP("10.7.2.1.1",A2:W105,4,FALSE)),ROUND(VLOOKUP("10.7.2.1.1",A2:W105,4,FALSE),4),0) - IF(ISNUMBER(VLOOKUP("2.1.3",A2:W105,4,FALSE)),ROUND(VLOOKUP("2.1.3",A2:W105,4,FALSE),4),0) - IF(ISNA(VLOOKUP("10.11",A2:W105,4,FALSE)),0,ROUND(VLOOKUP("10.11",A2:W105,4,FALSE),4)))) / (IF(ISNUMBER(VLOOKUP("1.1",A2:W105,4,FALSE)),ROUND(VLOOKUP("1.1",A2:W105,4,FALSE),4),0) - IF(ISNUMBER(VLOOKUP("1.1.4",A2:W105,4,FALSE)),ROUND(VLOOKUP("1.1.4",A2:W105,4,FALSE),4),0) - IF(ISNA(VLOOKUP("11.1.1",A2:W105,4,FALSE)),0,ROUND(VLOOKUP("11.1.1",A2:W105,4,FALSE),4)))</f>
        <v>0.1791088782600202</v>
      </c>
      <c r="E61" s="16">
        <f>((IF(ISNUMBER(VLOOKUP("1.1",A2:W105,5,FALSE)),ROUND(VLOOKUP("1.1",A2:W105,5,FALSE),4),0) - IF(ISNUMBER(VLOOKUP("9.1.1",A2:W105,5,FALSE)),ROUND(VLOOKUP("9.1.1",A2:W105,5,FALSE),4),0) - IF(ISNA(VLOOKUP("11.1.1",A2:W105,5,FALSE)),0,ROUND(VLOOKUP("11.1.1",A2:W105,5,FALSE),4))) - (IF(ISNUMBER(VLOOKUP("2.1",A2:W105,5,FALSE)),ROUND(VLOOKUP("2.1",A2:W105,5,FALSE),4),0) - IF(ISNUMBER(VLOOKUP("9.3.1",A2:W105,5,FALSE)),ROUND(VLOOKUP("9.3.1",A2:W105,5,FALSE),4),0) - IF(ISNUMBER(VLOOKUP("10.7.2.1.1",A2:W105,5,FALSE)),ROUND(VLOOKUP("10.7.2.1.1",A2:W105,5,FALSE),4),0) - IF(ISNUMBER(VLOOKUP("2.1.3",A2:W105,5,FALSE)),ROUND(VLOOKUP("2.1.3",A2:W105,5,FALSE),4),0) - IF(ISNA(VLOOKUP("10.11",A2:W105,5,FALSE)),0,ROUND(VLOOKUP("10.11",A2:W105,5,FALSE),4)))) / (IF(ISNUMBER(VLOOKUP("1.1",A2:W105,5,FALSE)),ROUND(VLOOKUP("1.1",A2:W105,5,FALSE),4),0) - IF(ISNUMBER(VLOOKUP("1.1.4",A2:W105,5,FALSE)),ROUND(VLOOKUP("1.1.4",A2:W105,5,FALSE),4),0) - IF(ISNA(VLOOKUP("11.1.1",A2:W105,5,FALSE)),0,ROUND(VLOOKUP("11.1.1",A2:W105,5,FALSE),4)))</f>
        <v>0.12048684586803407</v>
      </c>
      <c r="F61" s="16">
        <f>((IF(ISNUMBER(VLOOKUP("1.1",A2:W105,6,FALSE)),ROUND(VLOOKUP("1.1",A2:W105,6,FALSE),4),0) - IF(ISNUMBER(VLOOKUP("9.1.1",A2:W105,6,FALSE)),ROUND(VLOOKUP("9.1.1",A2:W105,6,FALSE),4),0) - IF(ISNA(VLOOKUP("11.1.1",A2:W105,6,FALSE)),0,ROUND(VLOOKUP("11.1.1",A2:W105,6,FALSE),4))) - (IF(ISNUMBER(VLOOKUP("2.1",A2:W105,6,FALSE)),ROUND(VLOOKUP("2.1",A2:W105,6,FALSE),4),0) - IF(ISNUMBER(VLOOKUP("9.3.1",A2:W105,6,FALSE)),ROUND(VLOOKUP("9.3.1",A2:W105,6,FALSE),4),0) - IF(ISNUMBER(VLOOKUP("10.7.2.1.1",A2:W105,6,FALSE)),ROUND(VLOOKUP("10.7.2.1.1",A2:W105,6,FALSE),4),0) - IF(ISNUMBER(VLOOKUP("2.1.3",A2:W105,6,FALSE)),ROUND(VLOOKUP("2.1.3",A2:W105,6,FALSE),4),0) - IF(ISNA(VLOOKUP("10.11",A2:W105,6,FALSE)),0,ROUND(VLOOKUP("10.11",A2:W105,6,FALSE),4)))) / (IF(ISNUMBER(VLOOKUP("1.1",A2:W105,6,FALSE)),ROUND(VLOOKUP("1.1",A2:W105,6,FALSE),4),0) - IF(ISNUMBER(VLOOKUP("1.1.4",A2:W105,6,FALSE)),ROUND(VLOOKUP("1.1.4",A2:W105,6,FALSE),4),0) - IF(ISNA(VLOOKUP("11.1.1",A2:W105,6,FALSE)),0,ROUND(VLOOKUP("11.1.1",A2:W105,6,FALSE),4)))</f>
        <v>0.17185508044639314</v>
      </c>
      <c r="G61" s="16">
        <f>((IF(ISNUMBER(VLOOKUP("1.1",A2:W105,7,FALSE)),ROUND(VLOOKUP("1.1",A2:W105,7,FALSE),4),0) - IF(ISNUMBER(VLOOKUP("9.1.1",A2:W105,7,FALSE)),ROUND(VLOOKUP("9.1.1",A2:W105,7,FALSE),4),0) - IF(ISNA(VLOOKUP("11.1.1",A2:W105,7,FALSE)),0,ROUND(VLOOKUP("11.1.1",A2:W105,7,FALSE),4))) - (IF(ISNUMBER(VLOOKUP("2.1",A2:W105,7,FALSE)),ROUND(VLOOKUP("2.1",A2:W105,7,FALSE),4),0) - IF(ISNUMBER(VLOOKUP("9.3.1",A2:W105,7,FALSE)),ROUND(VLOOKUP("9.3.1",A2:W105,7,FALSE),4),0) - IF(ISNUMBER(VLOOKUP("10.7.2.1.1",A2:W105,7,FALSE)),ROUND(VLOOKUP("10.7.2.1.1",A2:W105,7,FALSE),4),0) - IF(ISNUMBER(VLOOKUP("2.1.3",A2:W105,7,FALSE)),ROUND(VLOOKUP("2.1.3",A2:W105,7,FALSE),4),0) - IF(ISNA(VLOOKUP("10.11",A2:W105,7,FALSE)),0,ROUND(VLOOKUP("10.11",A2:W105,7,FALSE),4)))) / (IF(ISNUMBER(VLOOKUP("1.1",A2:W105,7,FALSE)),ROUND(VLOOKUP("1.1",A2:W105,7,FALSE),4),0) - IF(ISNUMBER(VLOOKUP("1.1.4",A2:W105,7,FALSE)),ROUND(VLOOKUP("1.1.4",A2:W105,7,FALSE),4),0) - IF(ISNA(VLOOKUP("11.1.1",A2:W105,7,FALSE)),0,ROUND(VLOOKUP("11.1.1",A2:W105,7,FALSE),4)))</f>
        <v>0.13761341697780885</v>
      </c>
      <c r="H61" s="16">
        <f>((IF(ISNUMBER(VLOOKUP("1.1",A2:W105,8,FALSE)),ROUND(VLOOKUP("1.1",A2:W105,8,FALSE),4),0) - IF(ISNUMBER(VLOOKUP("9.1.1",A2:W105,8,FALSE)),ROUND(VLOOKUP("9.1.1",A2:W105,8,FALSE),4),0) - IF(ISNA(VLOOKUP("11.1.1",A2:W105,8,FALSE)),0,ROUND(VLOOKUP("11.1.1",A2:W105,8,FALSE),4))) - (IF(ISNUMBER(VLOOKUP("2.1",A2:W105,8,FALSE)),ROUND(VLOOKUP("2.1",A2:W105,8,FALSE),4),0) - IF(ISNUMBER(VLOOKUP("9.3.1",A2:W105,8,FALSE)),ROUND(VLOOKUP("9.3.1",A2:W105,8,FALSE),4),0) - IF(ISNUMBER(VLOOKUP("10.7.2.1.1",A2:W105,8,FALSE)),ROUND(VLOOKUP("10.7.2.1.1",A2:W105,8,FALSE),4),0) - IF(ISNUMBER(VLOOKUP("2.1.3",A2:W105,8,FALSE)),ROUND(VLOOKUP("2.1.3",A2:W105,8,FALSE),4),0) - IF(ISNA(VLOOKUP("10.11",A2:W105,8,FALSE)),0,ROUND(VLOOKUP("10.11",A2:W105,8,FALSE),4)))) / (IF(ISNUMBER(VLOOKUP("1.1",A2:W105,8,FALSE)),ROUND(VLOOKUP("1.1",A2:W105,8,FALSE),4),0) - IF(ISNUMBER(VLOOKUP("1.1.4",A2:W105,8,FALSE)),ROUND(VLOOKUP("1.1.4",A2:W105,8,FALSE),4),0) - IF(ISNA(VLOOKUP("11.1.1",A2:W105,8,FALSE)),0,ROUND(VLOOKUP("11.1.1",A2:W105,8,FALSE),4)))</f>
        <v>9.1828553079445194E-2</v>
      </c>
      <c r="I61" s="16">
        <f>((IF(ISNUMBER(VLOOKUP("1.1",A2:W105,9,FALSE)),ROUND(VLOOKUP("1.1",A2:W105,9,FALSE),4),0) - IF(ISNUMBER(VLOOKUP("9.1.1",A2:W105,9,FALSE)),ROUND(VLOOKUP("9.1.1",A2:W105,9,FALSE),4),0) - IF(ISNA(VLOOKUP("11.1.1",A2:W105,9,FALSE)),0,ROUND(VLOOKUP("11.1.1",A2:W105,9,FALSE),4))) - (IF(ISNUMBER(VLOOKUP("2.1",A2:W105,9,FALSE)),ROUND(VLOOKUP("2.1",A2:W105,9,FALSE),4),0) - IF(ISNUMBER(VLOOKUP("9.3.1",A2:W105,9,FALSE)),ROUND(VLOOKUP("9.3.1",A2:W105,9,FALSE),4),0) - IF(ISNUMBER(VLOOKUP("10.7.2.1.1",A2:W105,9,FALSE)),ROUND(VLOOKUP("10.7.2.1.1",A2:W105,9,FALSE),4),0) - IF(ISNUMBER(VLOOKUP("2.1.3",A2:W105,9,FALSE)),ROUND(VLOOKUP("2.1.3",A2:W105,9,FALSE),4),0) - IF(ISNA(VLOOKUP("10.11",A2:W105,9,FALSE)),0,ROUND(VLOOKUP("10.11",A2:W105,9,FALSE),4)))) / (IF(ISNUMBER(VLOOKUP("1.1",A2:W105,9,FALSE)),ROUND(VLOOKUP("1.1",A2:W105,9,FALSE),4),0) - IF(ISNUMBER(VLOOKUP("1.1.4",A2:W105,9,FALSE)),ROUND(VLOOKUP("1.1.4",A2:W105,9,FALSE),4),0) - IF(ISNA(VLOOKUP("11.1.1",A2:W105,9,FALSE)),0,ROUND(VLOOKUP("11.1.1",A2:W105,9,FALSE),4)))</f>
        <v>5.612068479946504E-2</v>
      </c>
      <c r="J61" s="16">
        <f>((IF(ISNUMBER(VLOOKUP("1.1",A2:W105,10,FALSE)),ROUND(VLOOKUP("1.1",A2:W105,10,FALSE),4),0) - IF(ISNUMBER(VLOOKUP("9.1.1",A2:W105,10,FALSE)),ROUND(VLOOKUP("9.1.1",A2:W105,10,FALSE),4),0) - IF(ISNA(VLOOKUP("11.1.1",A2:W105,10,FALSE)),0,ROUND(VLOOKUP("11.1.1",A2:W105,10,FALSE),4))) - (IF(ISNUMBER(VLOOKUP("2.1",A2:W105,10,FALSE)),ROUND(VLOOKUP("2.1",A2:W105,10,FALSE),4),0) - IF(ISNUMBER(VLOOKUP("9.3.1",A2:W105,10,FALSE)),ROUND(VLOOKUP("9.3.1",A2:W105,10,FALSE),4),0) - IF(ISNUMBER(VLOOKUP("10.7.2.1.1",A2:W105,10,FALSE)),ROUND(VLOOKUP("10.7.2.1.1",A2:W105,10,FALSE),4),0) - IF(ISNUMBER(VLOOKUP("2.1.3",A2:W105,10,FALSE)),ROUND(VLOOKUP("2.1.3",A2:W105,10,FALSE),4),0) - IF(ISNA(VLOOKUP("10.11",A2:W105,10,FALSE)),0,ROUND(VLOOKUP("10.11",A2:W105,10,FALSE),4)))) / (IF(ISNUMBER(VLOOKUP("1.1",A2:W105,10,FALSE)),ROUND(VLOOKUP("1.1",A2:W105,10,FALSE),4),0) - IF(ISNUMBER(VLOOKUP("1.1.4",A2:W105,10,FALSE)),ROUND(VLOOKUP("1.1.4",A2:W105,10,FALSE),4),0) - IF(ISNA(VLOOKUP("11.1.1",A2:W105,10,FALSE)),0,ROUND(VLOOKUP("11.1.1",A2:W105,10,FALSE),4)))</f>
        <v>0.1001036664447332</v>
      </c>
      <c r="K61" s="17">
        <f>((IF(ISNUMBER(VLOOKUP("1.1",A2:W105,11,FALSE)),ROUND(VLOOKUP("1.1",A2:W105,11,FALSE),4),0) - IF(ISNUMBER(VLOOKUP("9.1.1",A2:W105,11,FALSE)),ROUND(VLOOKUP("9.1.1",A2:W105,11,FALSE),4),0) - IF(ISNA(VLOOKUP("11.1.1",A2:W105,11,FALSE)),0,ROUND(VLOOKUP("11.1.1",A2:W105,11,FALSE),4))) - (IF(ISNUMBER(VLOOKUP("2.1",A2:W105,11,FALSE)),ROUND(VLOOKUP("2.1",A2:W105,11,FALSE),4),0) - IF(ISNUMBER(VLOOKUP("9.3.1",A2:W105,11,FALSE)),ROUND(VLOOKUP("9.3.1",A2:W105,11,FALSE),4),0) - IF(ISNUMBER(VLOOKUP("10.7.2.1.1",A2:W105,11,FALSE)),ROUND(VLOOKUP("10.7.2.1.1",A2:W105,11,FALSE),4),0) - IF(ISNUMBER(VLOOKUP("2.1.3",A2:W105,11,FALSE)),ROUND(VLOOKUP("2.1.3",A2:W105,11,FALSE),4),0) - IF(ISNA(VLOOKUP("10.11",A2:W105,11,FALSE)),0,ROUND(VLOOKUP("10.11",A2:W105,11,FALSE),4)))) / (IF(ISNUMBER(VLOOKUP("1.1",A2:W105,11,FALSE)),ROUND(VLOOKUP("1.1",A2:W105,11,FALSE),4),0) - IF(ISNUMBER(VLOOKUP("1.1.4",A2:W105,11,FALSE)),ROUND(VLOOKUP("1.1.4",A2:W105,11,FALSE),4),0) - IF(ISNA(VLOOKUP("11.1.1",A2:W105,11,FALSE)),0,ROUND(VLOOKUP("11.1.1",A2:W105,11,FALSE),4)))</f>
        <v>1.0735399888797782E-2</v>
      </c>
      <c r="L61" s="17">
        <f>((IF(ISNUMBER(VLOOKUP("1.1",A2:W105,12,FALSE)),ROUND(VLOOKUP("1.1",A2:W105,12,FALSE),4),0) - IF(ISNUMBER(VLOOKUP("9.1.1",A2:W105,12,FALSE)),ROUND(VLOOKUP("9.1.1",A2:W105,12,FALSE),4),0) - IF(ISNA(VLOOKUP("11.1.1",A2:W105,12,FALSE)),0,ROUND(VLOOKUP("11.1.1",A2:W105,12,FALSE),4))) - (IF(ISNUMBER(VLOOKUP("2.1",A2:W105,12,FALSE)),ROUND(VLOOKUP("2.1",A2:W105,12,FALSE),4),0) - IF(ISNUMBER(VLOOKUP("9.3.1",A2:W105,12,FALSE)),ROUND(VLOOKUP("9.3.1",A2:W105,12,FALSE),4),0) - IF(ISNUMBER(VLOOKUP("10.7.2.1.1",A2:W105,12,FALSE)),ROUND(VLOOKUP("10.7.2.1.1",A2:W105,12,FALSE),4),0) - IF(ISNUMBER(VLOOKUP("2.1.3",A2:W105,12,FALSE)),ROUND(VLOOKUP("2.1.3",A2:W105,12,FALSE),4),0) - IF(ISNA(VLOOKUP("10.11",A2:W105,12,FALSE)),0,ROUND(VLOOKUP("10.11",A2:W105,12,FALSE),4)))) / (IF(ISNUMBER(VLOOKUP("1.1",A2:W105,12,FALSE)),ROUND(VLOOKUP("1.1",A2:W105,12,FALSE),4),0) - IF(ISNUMBER(VLOOKUP("1.1.4",A2:W105,12,FALSE)),ROUND(VLOOKUP("1.1.4",A2:W105,12,FALSE),4),0) - IF(ISNA(VLOOKUP("11.1.1",A2:W105,12,FALSE)),0,ROUND(VLOOKUP("11.1.1",A2:W105,12,FALSE),4)))</f>
        <v>5.470640230896151E-2</v>
      </c>
      <c r="M61" s="17">
        <f>((IF(ISNUMBER(VLOOKUP("1.1",A2:W105,13,FALSE)),ROUND(VLOOKUP("1.1",A2:W105,13,FALSE),4),0) - IF(ISNUMBER(VLOOKUP("9.1.1",A2:W105,13,FALSE)),ROUND(VLOOKUP("9.1.1",A2:W105,13,FALSE),4),0) - IF(ISNA(VLOOKUP("11.1.1",A2:W105,13,FALSE)),0,ROUND(VLOOKUP("11.1.1",A2:W105,13,FALSE),4))) - (IF(ISNUMBER(VLOOKUP("2.1",A2:W105,13,FALSE)),ROUND(VLOOKUP("2.1",A2:W105,13,FALSE),4),0) - IF(ISNUMBER(VLOOKUP("9.3.1",A2:W105,13,FALSE)),ROUND(VLOOKUP("9.3.1",A2:W105,13,FALSE),4),0) - IF(ISNUMBER(VLOOKUP("10.7.2.1.1",A2:W105,13,FALSE)),ROUND(VLOOKUP("10.7.2.1.1",A2:W105,13,FALSE),4),0) - IF(ISNUMBER(VLOOKUP("2.1.3",A2:W105,13,FALSE)),ROUND(VLOOKUP("2.1.3",A2:W105,13,FALSE),4),0) - IF(ISNA(VLOOKUP("10.11",A2:W105,13,FALSE)),0,ROUND(VLOOKUP("10.11",A2:W105,13,FALSE),4)))) / (IF(ISNUMBER(VLOOKUP("1.1",A2:W105,13,FALSE)),ROUND(VLOOKUP("1.1",A2:W105,13,FALSE),4),0) - IF(ISNUMBER(VLOOKUP("1.1.4",A2:W105,13,FALSE)),ROUND(VLOOKUP("1.1.4",A2:W105,13,FALSE),4),0) - IF(ISNA(VLOOKUP("11.1.1",A2:W105,13,FALSE)),0,ROUND(VLOOKUP("11.1.1",A2:W105,13,FALSE),4)))</f>
        <v>7.0144841175717162E-2</v>
      </c>
      <c r="N61" s="17">
        <f>((IF(ISNUMBER(VLOOKUP("1.1",A2:W105,14,FALSE)),ROUND(VLOOKUP("1.1",A2:W105,14,FALSE),4),0) - IF(ISNUMBER(VLOOKUP("9.1.1",A2:W105,14,FALSE)),ROUND(VLOOKUP("9.1.1",A2:W105,14,FALSE),4),0) - IF(ISNA(VLOOKUP("11.1.1",A2:W105,14,FALSE)),0,ROUND(VLOOKUP("11.1.1",A2:W105,14,FALSE),4))) - (IF(ISNUMBER(VLOOKUP("2.1",A2:W105,14,FALSE)),ROUND(VLOOKUP("2.1",A2:W105,14,FALSE),4),0) - IF(ISNUMBER(VLOOKUP("9.3.1",A2:W105,14,FALSE)),ROUND(VLOOKUP("9.3.1",A2:W105,14,FALSE),4),0) - IF(ISNUMBER(VLOOKUP("10.7.2.1.1",A2:W105,14,FALSE)),ROUND(VLOOKUP("10.7.2.1.1",A2:W105,14,FALSE),4),0) - IF(ISNUMBER(VLOOKUP("2.1.3",A2:W105,14,FALSE)),ROUND(VLOOKUP("2.1.3",A2:W105,14,FALSE),4),0) - IF(ISNA(VLOOKUP("10.11",A2:W105,14,FALSE)),0,ROUND(VLOOKUP("10.11",A2:W105,14,FALSE),4)))) / (IF(ISNUMBER(VLOOKUP("1.1",A2:W105,14,FALSE)),ROUND(VLOOKUP("1.1",A2:W105,14,FALSE),4),0) - IF(ISNUMBER(VLOOKUP("1.1.4",A2:W105,14,FALSE)),ROUND(VLOOKUP("1.1.4",A2:W105,14,FALSE),4),0) - IF(ISNA(VLOOKUP("11.1.1",A2:W105,14,FALSE)),0,ROUND(VLOOKUP("11.1.1",A2:W105,14,FALSE),4)))</f>
        <v>8.1845948761028839E-2</v>
      </c>
      <c r="O61" s="17">
        <f>((IF(ISNUMBER(VLOOKUP("1.1",A2:W105,15,FALSE)),ROUND(VLOOKUP("1.1",A2:W105,15,FALSE),4),0) - IF(ISNUMBER(VLOOKUP("9.1.1",A2:W105,15,FALSE)),ROUND(VLOOKUP("9.1.1",A2:W105,15,FALSE),4),0) - IF(ISNA(VLOOKUP("11.1.1",A2:W105,15,FALSE)),0,ROUND(VLOOKUP("11.1.1",A2:W105,15,FALSE),4))) - (IF(ISNUMBER(VLOOKUP("2.1",A2:W105,15,FALSE)),ROUND(VLOOKUP("2.1",A2:W105,15,FALSE),4),0) - IF(ISNUMBER(VLOOKUP("9.3.1",A2:W105,15,FALSE)),ROUND(VLOOKUP("9.3.1",A2:W105,15,FALSE),4),0) - IF(ISNUMBER(VLOOKUP("10.7.2.1.1",A2:W105,15,FALSE)),ROUND(VLOOKUP("10.7.2.1.1",A2:W105,15,FALSE),4),0) - IF(ISNUMBER(VLOOKUP("2.1.3",A2:W105,15,FALSE)),ROUND(VLOOKUP("2.1.3",A2:W105,15,FALSE),4),0) - IF(ISNA(VLOOKUP("10.11",A2:W105,15,FALSE)),0,ROUND(VLOOKUP("10.11",A2:W105,15,FALSE),4)))) / (IF(ISNUMBER(VLOOKUP("1.1",A2:W105,15,FALSE)),ROUND(VLOOKUP("1.1",A2:W105,15,FALSE),4),0) - IF(ISNUMBER(VLOOKUP("1.1.4",A2:W105,15,FALSE)),ROUND(VLOOKUP("1.1.4",A2:W105,15,FALSE),4),0) - IF(ISNA(VLOOKUP("11.1.1",A2:W105,15,FALSE)),0,ROUND(VLOOKUP("11.1.1",A2:W105,15,FALSE),4)))</f>
        <v>9.4252718813931505E-2</v>
      </c>
      <c r="P61" s="17">
        <f>((IF(ISNUMBER(VLOOKUP("1.1",A2:W105,16,FALSE)),ROUND(VLOOKUP("1.1",A2:W105,16,FALSE),4),0) - IF(ISNUMBER(VLOOKUP("9.1.1",A2:W105,16,FALSE)),ROUND(VLOOKUP("9.1.1",A2:W105,16,FALSE),4),0) - IF(ISNA(VLOOKUP("11.1.1",A2:W105,16,FALSE)),0,ROUND(VLOOKUP("11.1.1",A2:W105,16,FALSE),4))) - (IF(ISNUMBER(VLOOKUP("2.1",A2:W105,16,FALSE)),ROUND(VLOOKUP("2.1",A2:W105,16,FALSE),4),0) - IF(ISNUMBER(VLOOKUP("9.3.1",A2:W105,16,FALSE)),ROUND(VLOOKUP("9.3.1",A2:W105,16,FALSE),4),0) - IF(ISNUMBER(VLOOKUP("10.7.2.1.1",A2:W105,16,FALSE)),ROUND(VLOOKUP("10.7.2.1.1",A2:W105,16,FALSE),4),0) - IF(ISNUMBER(VLOOKUP("2.1.3",A2:W105,16,FALSE)),ROUND(VLOOKUP("2.1.3",A2:W105,16,FALSE),4),0) - IF(ISNA(VLOOKUP("10.11",A2:W105,16,FALSE)),0,ROUND(VLOOKUP("10.11",A2:W105,16,FALSE),4)))) / (IF(ISNUMBER(VLOOKUP("1.1",A2:W105,16,FALSE)),ROUND(VLOOKUP("1.1",A2:W105,16,FALSE),4),0) - IF(ISNUMBER(VLOOKUP("1.1.4",A2:W105,16,FALSE)),ROUND(VLOOKUP("1.1.4",A2:W105,16,FALSE),4),0) - IF(ISNA(VLOOKUP("11.1.1",A2:W105,16,FALSE)),0,ROUND(VLOOKUP("11.1.1",A2:W105,16,FALSE),4)))</f>
        <v>0.10880974142897501</v>
      </c>
      <c r="Q61" s="17">
        <f>((IF(ISNUMBER(VLOOKUP("1.1",A2:W105,17,FALSE)),ROUND(VLOOKUP("1.1",A2:W105,17,FALSE),4),0) - IF(ISNUMBER(VLOOKUP("9.1.1",A2:W105,17,FALSE)),ROUND(VLOOKUP("9.1.1",A2:W105,17,FALSE),4),0) - IF(ISNA(VLOOKUP("11.1.1",A2:W105,17,FALSE)),0,ROUND(VLOOKUP("11.1.1",A2:W105,17,FALSE),4))) - (IF(ISNUMBER(VLOOKUP("2.1",A2:W105,17,FALSE)),ROUND(VLOOKUP("2.1",A2:W105,17,FALSE),4),0) - IF(ISNUMBER(VLOOKUP("9.3.1",A2:W105,17,FALSE)),ROUND(VLOOKUP("9.3.1",A2:W105,17,FALSE),4),0) - IF(ISNUMBER(VLOOKUP("10.7.2.1.1",A2:W105,17,FALSE)),ROUND(VLOOKUP("10.7.2.1.1",A2:W105,17,FALSE),4),0) - IF(ISNUMBER(VLOOKUP("2.1.3",A2:W105,17,FALSE)),ROUND(VLOOKUP("2.1.3",A2:W105,17,FALSE),4),0) - IF(ISNA(VLOOKUP("10.11",A2:W105,17,FALSE)),0,ROUND(VLOOKUP("10.11",A2:W105,17,FALSE),4)))) / (IF(ISNUMBER(VLOOKUP("1.1",A2:W105,17,FALSE)),ROUND(VLOOKUP("1.1",A2:W105,17,FALSE),4),0) - IF(ISNUMBER(VLOOKUP("1.1.4",A2:W105,17,FALSE)),ROUND(VLOOKUP("1.1.4",A2:W105,17,FALSE),4),0) - IF(ISNA(VLOOKUP("11.1.1",A2:W105,17,FALSE)),0,ROUND(VLOOKUP("11.1.1",A2:W105,17,FALSE),4)))</f>
        <v>0.1188989386468437</v>
      </c>
      <c r="R61" s="17">
        <f>((IF(ISNUMBER(VLOOKUP("1.1",A2:W105,18,FALSE)),ROUND(VLOOKUP("1.1",A2:W105,18,FALSE),4),0) - IF(ISNUMBER(VLOOKUP("9.1.1",A2:W105,18,FALSE)),ROUND(VLOOKUP("9.1.1",A2:W105,18,FALSE),4),0) - IF(ISNA(VLOOKUP("11.1.1",A2:W105,18,FALSE)),0,ROUND(VLOOKUP("11.1.1",A2:W105,18,FALSE),4))) - (IF(ISNUMBER(VLOOKUP("2.1",A2:W105,18,FALSE)),ROUND(VLOOKUP("2.1",A2:W105,18,FALSE),4),0) - IF(ISNUMBER(VLOOKUP("9.3.1",A2:W105,18,FALSE)),ROUND(VLOOKUP("9.3.1",A2:W105,18,FALSE),4),0) - IF(ISNUMBER(VLOOKUP("10.7.2.1.1",A2:W105,18,FALSE)),ROUND(VLOOKUP("10.7.2.1.1",A2:W105,18,FALSE),4),0) - IF(ISNUMBER(VLOOKUP("2.1.3",A2:W105,18,FALSE)),ROUND(VLOOKUP("2.1.3",A2:W105,18,FALSE),4),0) - IF(ISNA(VLOOKUP("10.11",A2:W105,18,FALSE)),0,ROUND(VLOOKUP("10.11",A2:W105,18,FALSE),4)))) / (IF(ISNUMBER(VLOOKUP("1.1",A2:W105,18,FALSE)),ROUND(VLOOKUP("1.1",A2:W105,18,FALSE),4),0) - IF(ISNUMBER(VLOOKUP("1.1.4",A2:W105,18,FALSE)),ROUND(VLOOKUP("1.1.4",A2:W105,18,FALSE),4),0) - IF(ISNA(VLOOKUP("11.1.1",A2:W105,18,FALSE)),0,ROUND(VLOOKUP("11.1.1",A2:W105,18,FALSE),4)))</f>
        <v>0.12722227052497484</v>
      </c>
      <c r="S61" s="17">
        <f>((IF(ISNUMBER(VLOOKUP("1.1",A2:W105,19,FALSE)),ROUND(VLOOKUP("1.1",A2:W105,19,FALSE),4),0) - IF(ISNUMBER(VLOOKUP("9.1.1",A2:W105,19,FALSE)),ROUND(VLOOKUP("9.1.1",A2:W105,19,FALSE),4),0) - IF(ISNA(VLOOKUP("11.1.1",A2:W105,19,FALSE)),0,ROUND(VLOOKUP("11.1.1",A2:W105,19,FALSE),4))) - (IF(ISNUMBER(VLOOKUP("2.1",A2:W105,19,FALSE)),ROUND(VLOOKUP("2.1",A2:W105,19,FALSE),4),0) - IF(ISNUMBER(VLOOKUP("9.3.1",A2:W105,19,FALSE)),ROUND(VLOOKUP("9.3.1",A2:W105,19,FALSE),4),0) - IF(ISNUMBER(VLOOKUP("10.7.2.1.1",A2:W105,19,FALSE)),ROUND(VLOOKUP("10.7.2.1.1",A2:W105,19,FALSE),4),0) - IF(ISNUMBER(VLOOKUP("2.1.3",A2:W105,19,FALSE)),ROUND(VLOOKUP("2.1.3",A2:W105,19,FALSE),4),0) - IF(ISNA(VLOOKUP("10.11",A2:W105,19,FALSE)),0,ROUND(VLOOKUP("10.11",A2:W105,19,FALSE),4)))) / (IF(ISNUMBER(VLOOKUP("1.1",A2:W105,19,FALSE)),ROUND(VLOOKUP("1.1",A2:W105,19,FALSE),4),0) - IF(ISNUMBER(VLOOKUP("1.1.4",A2:W105,19,FALSE)),ROUND(VLOOKUP("1.1.4",A2:W105,19,FALSE),4),0) - IF(ISNA(VLOOKUP("11.1.1",A2:W105,19,FALSE)),0,ROUND(VLOOKUP("11.1.1",A2:W105,19,FALSE),4)))</f>
        <v>0.13360517792880858</v>
      </c>
      <c r="T61" s="17">
        <f>((IF(ISNUMBER(VLOOKUP("1.1",A2:W105,20,FALSE)),ROUND(VLOOKUP("1.1",A2:W105,20,FALSE),4),0) - IF(ISNUMBER(VLOOKUP("9.1.1",A2:W105,20,FALSE)),ROUND(VLOOKUP("9.1.1",A2:W105,20,FALSE),4),0) - IF(ISNA(VLOOKUP("11.1.1",A2:W105,20,FALSE)),0,ROUND(VLOOKUP("11.1.1",A2:W105,20,FALSE),4))) - (IF(ISNUMBER(VLOOKUP("2.1",A2:W105,20,FALSE)),ROUND(VLOOKUP("2.1",A2:W105,20,FALSE),4),0) - IF(ISNUMBER(VLOOKUP("9.3.1",A2:W105,20,FALSE)),ROUND(VLOOKUP("9.3.1",A2:W105,20,FALSE),4),0) - IF(ISNUMBER(VLOOKUP("10.7.2.1.1",A2:W105,20,FALSE)),ROUND(VLOOKUP("10.7.2.1.1",A2:W105,20,FALSE),4),0) - IF(ISNUMBER(VLOOKUP("2.1.3",A2:W105,20,FALSE)),ROUND(VLOOKUP("2.1.3",A2:W105,20,FALSE),4),0) - IF(ISNA(VLOOKUP("10.11",A2:W105,20,FALSE)),0,ROUND(VLOOKUP("10.11",A2:W105,20,FALSE),4)))) / (IF(ISNUMBER(VLOOKUP("1.1",A2:W105,20,FALSE)),ROUND(VLOOKUP("1.1",A2:W105,20,FALSE),4),0) - IF(ISNUMBER(VLOOKUP("1.1.4",A2:W105,20,FALSE)),ROUND(VLOOKUP("1.1.4",A2:W105,20,FALSE),4),0) - IF(ISNA(VLOOKUP("11.1.1",A2:W105,20,FALSE)),0,ROUND(VLOOKUP("11.1.1",A2:W105,20,FALSE),4)))</f>
        <v>0.13900441049218712</v>
      </c>
      <c r="U61" s="17">
        <f>((IF(ISNUMBER(VLOOKUP("1.1",A2:W105,21,FALSE)),ROUND(VLOOKUP("1.1",A2:W105,21,FALSE),4),0) - IF(ISNUMBER(VLOOKUP("9.1.1",A2:W105,21,FALSE)),ROUND(VLOOKUP("9.1.1",A2:W105,21,FALSE),4),0) - IF(ISNA(VLOOKUP("11.1.1",A2:W105,21,FALSE)),0,ROUND(VLOOKUP("11.1.1",A2:W105,21,FALSE),4))) - (IF(ISNUMBER(VLOOKUP("2.1",A2:W105,21,FALSE)),ROUND(VLOOKUP("2.1",A2:W105,21,FALSE),4),0) - IF(ISNUMBER(VLOOKUP("9.3.1",A2:W105,21,FALSE)),ROUND(VLOOKUP("9.3.1",A2:W105,21,FALSE),4),0) - IF(ISNUMBER(VLOOKUP("10.7.2.1.1",A2:W105,21,FALSE)),ROUND(VLOOKUP("10.7.2.1.1",A2:W105,21,FALSE),4),0) - IF(ISNUMBER(VLOOKUP("2.1.3",A2:W105,21,FALSE)),ROUND(VLOOKUP("2.1.3",A2:W105,21,FALSE),4),0) - IF(ISNA(VLOOKUP("10.11",A2:W105,21,FALSE)),0,ROUND(VLOOKUP("10.11",A2:W105,21,FALSE),4)))) / (IF(ISNUMBER(VLOOKUP("1.1",A2:W105,21,FALSE)),ROUND(VLOOKUP("1.1",A2:W105,21,FALSE),4),0) - IF(ISNUMBER(VLOOKUP("1.1.4",A2:W105,21,FALSE)),ROUND(VLOOKUP("1.1.4",A2:W105,21,FALSE),4),0) - IF(ISNA(VLOOKUP("11.1.1",A2:W105,21,FALSE)),0,ROUND(VLOOKUP("11.1.1",A2:W105,21,FALSE),4)))</f>
        <v>0.14343536457254638</v>
      </c>
      <c r="V61" s="17">
        <f>((IF(ISNUMBER(VLOOKUP("1.1",A2:W105,22,FALSE)),ROUND(VLOOKUP("1.1",A2:W105,22,FALSE),4),0) - IF(ISNUMBER(VLOOKUP("9.1.1",A2:W105,22,FALSE)),ROUND(VLOOKUP("9.1.1",A2:W105,22,FALSE),4),0) - IF(ISNA(VLOOKUP("11.1.1",A2:W105,22,FALSE)),0,ROUND(VLOOKUP("11.1.1",A2:W105,22,FALSE),4))) - (IF(ISNUMBER(VLOOKUP("2.1",A2:W105,22,FALSE)),ROUND(VLOOKUP("2.1",A2:W105,22,FALSE),4),0) - IF(ISNUMBER(VLOOKUP("9.3.1",A2:W105,22,FALSE)),ROUND(VLOOKUP("9.3.1",A2:W105,22,FALSE),4),0) - IF(ISNUMBER(VLOOKUP("10.7.2.1.1",A2:W105,22,FALSE)),ROUND(VLOOKUP("10.7.2.1.1",A2:W105,22,FALSE),4),0) - IF(ISNUMBER(VLOOKUP("2.1.3",A2:W105,22,FALSE)),ROUND(VLOOKUP("2.1.3",A2:W105,22,FALSE),4),0) - IF(ISNA(VLOOKUP("10.11",A2:W105,22,FALSE)),0,ROUND(VLOOKUP("10.11",A2:W105,22,FALSE),4)))) / (IF(ISNUMBER(VLOOKUP("1.1",A2:W105,22,FALSE)),ROUND(VLOOKUP("1.1",A2:W105,22,FALSE),4),0) - IF(ISNUMBER(VLOOKUP("1.1.4",A2:W105,22,FALSE)),ROUND(VLOOKUP("1.1.4",A2:W105,22,FALSE),4),0) - IF(ISNA(VLOOKUP("11.1.1",A2:W105,22,FALSE)),0,ROUND(VLOOKUP("11.1.1",A2:W105,22,FALSE),4)))</f>
        <v>0.14712956989914955</v>
      </c>
      <c r="W61" s="17">
        <f>((IF(ISNUMBER(VLOOKUP("1.1",A2:W105,23,FALSE)),ROUND(VLOOKUP("1.1",A2:W105,23,FALSE),4),0) - IF(ISNUMBER(VLOOKUP("9.1.1",A2:W105,23,FALSE)),ROUND(VLOOKUP("9.1.1",A2:W105,23,FALSE),4),0) - IF(ISNA(VLOOKUP("11.1.1",A2:W105,23,FALSE)),0,ROUND(VLOOKUP("11.1.1",A2:W105,23,FALSE),4))) - (IF(ISNUMBER(VLOOKUP("2.1",A2:W105,23,FALSE)),ROUND(VLOOKUP("2.1",A2:W105,23,FALSE),4),0) - IF(ISNUMBER(VLOOKUP("9.3.1",A2:W105,23,FALSE)),ROUND(VLOOKUP("9.3.1",A2:W105,23,FALSE),4),0) - IF(ISNUMBER(VLOOKUP("10.7.2.1.1",A2:W105,23,FALSE)),ROUND(VLOOKUP("10.7.2.1.1",A2:W105,23,FALSE),4),0) - IF(ISNUMBER(VLOOKUP("2.1.3",A2:W105,23,FALSE)),ROUND(VLOOKUP("2.1.3",A2:W105,23,FALSE),4),0) - IF(ISNA(VLOOKUP("10.11",A2:W105,23,FALSE)),0,ROUND(VLOOKUP("10.11",A2:W105,23,FALSE),4)))) / (IF(ISNUMBER(VLOOKUP("1.1",A2:W105,23,FALSE)),ROUND(VLOOKUP("1.1",A2:W105,23,FALSE),4),0) - IF(ISNUMBER(VLOOKUP("1.1.4",A2:W105,23,FALSE)),ROUND(VLOOKUP("1.1.4",A2:W105,23,FALSE),4),0) - IF(ISNA(VLOOKUP("11.1.1",A2:W105,23,FALSE)),0,ROUND(VLOOKUP("11.1.1",A2:W105,23,FALSE),4)))</f>
        <v>0.14987928736106709</v>
      </c>
    </row>
    <row r="62" spans="1:23" ht="30.6" hidden="1" x14ac:dyDescent="0.3">
      <c r="A62" s="14" t="s">
        <v>137</v>
      </c>
      <c r="B62" s="15" t="s">
        <v>138</v>
      </c>
      <c r="C62" s="16">
        <f>((IF(ISNUMBER(VLOOKUP("1.1",A2:W105,3,FALSE)),ROUND(VLOOKUP("1.1",A2:W105,3,FALSE),4),0) - IF(ISNUMBER(VLOOKUP("9.1.1",A2:W105,3,FALSE)),ROUND(VLOOKUP("9.1.1",A2:W105,3,FALSE),4),0) - IF(ISNA(VLOOKUP("11.1.1",A2:W105,3,FALSE)),0,ROUND(VLOOKUP("11.1.1",A2:W105,3,FALSE),4))) + IF(ISNUMBER(VLOOKUP("1.2.1",A2:W105,3,FALSE)),ROUND(VLOOKUP("1.2.1",A2:W105,3,FALSE),4),0) - (IF(ISNUMBER(VLOOKUP("2.1",A2:W105,3,FALSE)),ROUND(VLOOKUP("2.1",A2:W105,3,FALSE),4),0) - IF(ISNUMBER(VLOOKUP("9.3.1",A2:W105,3,FALSE)),ROUND(VLOOKUP("9.3.1",A2:W105,3,FALSE),4),0) - IF(ISNUMBER(VLOOKUP("10.7.2.1.1",A2:W105,3,FALSE)),ROUND(VLOOKUP("10.7.2.1.1",A2:W105,3,FALSE),4),0) - IF(ISNUMBER(VLOOKUP("2.1.3",A2:W105,3,FALSE)),ROUND(VLOOKUP("2.1.3",A2:W105,3,FALSE),4),0) - IF(ISNA(VLOOKUP("10.11",A2:W105,3,FALSE)),0,ROUND(VLOOKUP("10.11",A2:W105,3,FALSE),4)))) / (IF(ISNUMBER(VLOOKUP("1.1",A2:W105,3,FALSE)),ROUND(VLOOKUP("1.1",A2:W105,3,FALSE),4),0) - IF(ISNUMBER(VLOOKUP("1.1.4",A2:W105,3,FALSE)),ROUND(VLOOKUP("1.1.4",A2:W105,3,FALSE),4),0) - IF(ISNA(VLOOKUP("11.1.1",A2:W105,3,FALSE)),0,ROUND(VLOOKUP("11.1.1",A2:W105,3,FALSE),4)))</f>
        <v>0.19832996042793283</v>
      </c>
      <c r="D62" s="16">
        <f>((IF(ISNUMBER(VLOOKUP("1.1",A2:W105,4,FALSE)),ROUND(VLOOKUP("1.1",A2:W105,4,FALSE),4),0) - IF(ISNUMBER(VLOOKUP("9.1.1",A2:W105,4,FALSE)),ROUND(VLOOKUP("9.1.1",A2:W105,4,FALSE),4),0) - IF(ISNA(VLOOKUP("11.1.1",A2:W105,4,FALSE)),0,ROUND(VLOOKUP("11.1.1",A2:W105,4,FALSE),4))) + IF(ISNUMBER(VLOOKUP("1.2.1",A2:W105,4,FALSE)),ROUND(VLOOKUP("1.2.1",A2:W105,4,FALSE),4),0) - (IF(ISNUMBER(VLOOKUP("2.1",A2:W105,4,FALSE)),ROUND(VLOOKUP("2.1",A2:W105,4,FALSE),4),0) - IF(ISNUMBER(VLOOKUP("9.3.1",A2:W105,4,FALSE)),ROUND(VLOOKUP("9.3.1",A2:W105,4,FALSE),4),0) - IF(ISNUMBER(VLOOKUP("10.7.2.1.1",A2:W105,4,FALSE)),ROUND(VLOOKUP("10.7.2.1.1",A2:W105,4,FALSE),4),0) - IF(ISNUMBER(VLOOKUP("2.1.3",A2:W105,4,FALSE)),ROUND(VLOOKUP("2.1.3",A2:W105,4,FALSE),4),0) - IF(ISNA(VLOOKUP("10.11",A2:W105,4,FALSE)),0,ROUND(VLOOKUP("10.11",A2:W105,4,FALSE),4)))) / (IF(ISNUMBER(VLOOKUP("1.1",A2:W105,4,FALSE)),ROUND(VLOOKUP("1.1",A2:W105,4,FALSE),4),0) - IF(ISNUMBER(VLOOKUP("1.1.4",A2:W105,4,FALSE)),ROUND(VLOOKUP("1.1.4",A2:W105,4,FALSE),4),0) - IF(ISNA(VLOOKUP("11.1.1",A2:W105,4,FALSE)),0,ROUND(VLOOKUP("11.1.1",A2:W105,4,FALSE),4)))</f>
        <v>0.21953600163766543</v>
      </c>
      <c r="E62" s="16">
        <f>((IF(ISNUMBER(VLOOKUP("1.1",A2:W105,5,FALSE)),ROUND(VLOOKUP("1.1",A2:W105,5,FALSE),4),0) - IF(ISNUMBER(VLOOKUP("9.1.1",A2:W105,5,FALSE)),ROUND(VLOOKUP("9.1.1",A2:W105,5,FALSE),4),0) - IF(ISNA(VLOOKUP("11.1.1",A2:W105,5,FALSE)),0,ROUND(VLOOKUP("11.1.1",A2:W105,5,FALSE),4))) + IF(ISNUMBER(VLOOKUP("1.2.1",A2:W105,5,FALSE)),ROUND(VLOOKUP("1.2.1",A2:W105,5,FALSE),4),0) - (IF(ISNUMBER(VLOOKUP("2.1",A2:W105,5,FALSE)),ROUND(VLOOKUP("2.1",A2:W105,5,FALSE),4),0) - IF(ISNUMBER(VLOOKUP("9.3.1",A2:W105,5,FALSE)),ROUND(VLOOKUP("9.3.1",A2:W105,5,FALSE),4),0) - IF(ISNUMBER(VLOOKUP("10.7.2.1.1",A2:W105,5,FALSE)),ROUND(VLOOKUP("10.7.2.1.1",A2:W105,5,FALSE),4),0) - IF(ISNUMBER(VLOOKUP("2.1.3",A2:W105,5,FALSE)),ROUND(VLOOKUP("2.1.3",A2:W105,5,FALSE),4),0) - IF(ISNA(VLOOKUP("10.11",A2:W105,5,FALSE)),0,ROUND(VLOOKUP("10.11",A2:W105,5,FALSE),4)))) / (IF(ISNUMBER(VLOOKUP("1.1",A2:W105,5,FALSE)),ROUND(VLOOKUP("1.1",A2:W105,5,FALSE),4),0) - IF(ISNUMBER(VLOOKUP("1.1.4",A2:W105,5,FALSE)),ROUND(VLOOKUP("1.1.4",A2:W105,5,FALSE),4),0) - IF(ISNA(VLOOKUP("11.1.1",A2:W105,5,FALSE)),0,ROUND(VLOOKUP("11.1.1",A2:W105,5,FALSE),4)))</f>
        <v>0.16541529364222957</v>
      </c>
      <c r="F62" s="16">
        <f>((IF(ISNUMBER(VLOOKUP("1.1",A2:W105,6,FALSE)),ROUND(VLOOKUP("1.1",A2:W105,6,FALSE),4),0) - IF(ISNUMBER(VLOOKUP("9.1.1",A2:W105,6,FALSE)),ROUND(VLOOKUP("9.1.1",A2:W105,6,FALSE),4),0) - IF(ISNA(VLOOKUP("11.1.1",A2:W105,6,FALSE)),0,ROUND(VLOOKUP("11.1.1",A2:W105,6,FALSE),4))) + IF(ISNUMBER(VLOOKUP("1.2.1",A2:W105,6,FALSE)),ROUND(VLOOKUP("1.2.1",A2:W105,6,FALSE),4),0) - (IF(ISNUMBER(VLOOKUP("2.1",A2:W105,6,FALSE)),ROUND(VLOOKUP("2.1",A2:W105,6,FALSE),4),0) - IF(ISNUMBER(VLOOKUP("9.3.1",A2:W105,6,FALSE)),ROUND(VLOOKUP("9.3.1",A2:W105,6,FALSE),4),0) - IF(ISNUMBER(VLOOKUP("10.7.2.1.1",A2:W105,6,FALSE)),ROUND(VLOOKUP("10.7.2.1.1",A2:W105,6,FALSE),4),0) - IF(ISNUMBER(VLOOKUP("2.1.3",A2:W105,6,FALSE)),ROUND(VLOOKUP("2.1.3",A2:W105,6,FALSE),4),0) - IF(ISNA(VLOOKUP("10.11",A2:W105,6,FALSE)),0,ROUND(VLOOKUP("10.11",A2:W105,6,FALSE),4)))) / (IF(ISNUMBER(VLOOKUP("1.1",A2:W105,6,FALSE)),ROUND(VLOOKUP("1.1",A2:W105,6,FALSE),4),0) - IF(ISNUMBER(VLOOKUP("1.1.4",A2:W105,6,FALSE)),ROUND(VLOOKUP("1.1.4",A2:W105,6,FALSE),4),0) - IF(ISNA(VLOOKUP("11.1.1",A2:W105,6,FALSE)),0,ROUND(VLOOKUP("11.1.1",A2:W105,6,FALSE),4)))</f>
        <v>0.20330274161790546</v>
      </c>
      <c r="G62" s="16">
        <f>((IF(ISNUMBER(VLOOKUP("1.1",A2:W105,7,FALSE)),ROUND(VLOOKUP("1.1",A2:W105,7,FALSE),4),0) - IF(ISNUMBER(VLOOKUP("9.1.1",A2:W105,7,FALSE)),ROUND(VLOOKUP("9.1.1",A2:W105,7,FALSE),4),0) - IF(ISNA(VLOOKUP("11.1.1",A2:W105,7,FALSE)),0,ROUND(VLOOKUP("11.1.1",A2:W105,7,FALSE),4))) + IF(ISNUMBER(VLOOKUP("1.2.1",A2:W105,7,FALSE)),ROUND(VLOOKUP("1.2.1",A2:W105,7,FALSE),4),0) - (IF(ISNUMBER(VLOOKUP("2.1",A2:W105,7,FALSE)),ROUND(VLOOKUP("2.1",A2:W105,7,FALSE),4),0) - IF(ISNUMBER(VLOOKUP("9.3.1",A2:W105,7,FALSE)),ROUND(VLOOKUP("9.3.1",A2:W105,7,FALSE),4),0) - IF(ISNUMBER(VLOOKUP("10.7.2.1.1",A2:W105,7,FALSE)),ROUND(VLOOKUP("10.7.2.1.1",A2:W105,7,FALSE),4),0) - IF(ISNUMBER(VLOOKUP("2.1.3",A2:W105,7,FALSE)),ROUND(VLOOKUP("2.1.3",A2:W105,7,FALSE),4),0) - IF(ISNA(VLOOKUP("10.11",A2:W105,7,FALSE)),0,ROUND(VLOOKUP("10.11",A2:W105,7,FALSE),4)))) / (IF(ISNUMBER(VLOOKUP("1.1",A2:W105,7,FALSE)),ROUND(VLOOKUP("1.1",A2:W105,7,FALSE),4),0) - IF(ISNUMBER(VLOOKUP("1.1.4",A2:W105,7,FALSE)),ROUND(VLOOKUP("1.1.4",A2:W105,7,FALSE),4),0) - IF(ISNA(VLOOKUP("11.1.1",A2:W105,7,FALSE)),0,ROUND(VLOOKUP("11.1.1",A2:W105,7,FALSE),4)))</f>
        <v>0.15110948929572415</v>
      </c>
      <c r="H62" s="16">
        <f>((IF(ISNUMBER(VLOOKUP("1.1",A2:W105,8,FALSE)),ROUND(VLOOKUP("1.1",A2:W105,8,FALSE),4),0) - IF(ISNUMBER(VLOOKUP("9.1.1",A2:W105,8,FALSE)),ROUND(VLOOKUP("9.1.1",A2:W105,8,FALSE),4),0) - IF(ISNA(VLOOKUP("11.1.1",A2:W105,8,FALSE)),0,ROUND(VLOOKUP("11.1.1",A2:W105,8,FALSE),4))) + IF(ISNUMBER(VLOOKUP("1.2.1",A2:W105,8,FALSE)),ROUND(VLOOKUP("1.2.1",A2:W105,8,FALSE),4),0) - (IF(ISNUMBER(VLOOKUP("2.1",A2:W105,8,FALSE)),ROUND(VLOOKUP("2.1",A2:W105,8,FALSE),4),0) - IF(ISNUMBER(VLOOKUP("9.3.1",A2:W105,8,FALSE)),ROUND(VLOOKUP("9.3.1",A2:W105,8,FALSE),4),0) - IF(ISNUMBER(VLOOKUP("10.7.2.1.1",A2:W105,8,FALSE)),ROUND(VLOOKUP("10.7.2.1.1",A2:W105,8,FALSE),4),0) - IF(ISNUMBER(VLOOKUP("2.1.3",A2:W105,8,FALSE)),ROUND(VLOOKUP("2.1.3",A2:W105,8,FALSE),4),0) - IF(ISNA(VLOOKUP("10.11",A2:W105,8,FALSE)),0,ROUND(VLOOKUP("10.11",A2:W105,8,FALSE),4)))) / (IF(ISNUMBER(VLOOKUP("1.1",A2:W105,8,FALSE)),ROUND(VLOOKUP("1.1",A2:W105,8,FALSE),4),0) - IF(ISNUMBER(VLOOKUP("1.1.4",A2:W105,8,FALSE)),ROUND(VLOOKUP("1.1.4",A2:W105,8,FALSE),4),0) - IF(ISNA(VLOOKUP("11.1.1",A2:W105,8,FALSE)),0,ROUND(VLOOKUP("11.1.1",A2:W105,8,FALSE),4)))</f>
        <v>0.10944169103995723</v>
      </c>
      <c r="I62" s="16">
        <f>((IF(ISNUMBER(VLOOKUP("1.1",A2:W105,9,FALSE)),ROUND(VLOOKUP("1.1",A2:W105,9,FALSE),4),0) - IF(ISNUMBER(VLOOKUP("9.1.1",A2:W105,9,FALSE)),ROUND(VLOOKUP("9.1.1",A2:W105,9,FALSE),4),0) - IF(ISNA(VLOOKUP("11.1.1",A2:W105,9,FALSE)),0,ROUND(VLOOKUP("11.1.1",A2:W105,9,FALSE),4))) + IF(ISNUMBER(VLOOKUP("1.2.1",A2:W105,9,FALSE)),ROUND(VLOOKUP("1.2.1",A2:W105,9,FALSE),4),0) - (IF(ISNUMBER(VLOOKUP("2.1",A2:W105,9,FALSE)),ROUND(VLOOKUP("2.1",A2:W105,9,FALSE),4),0) - IF(ISNUMBER(VLOOKUP("9.3.1",A2:W105,9,FALSE)),ROUND(VLOOKUP("9.3.1",A2:W105,9,FALSE),4),0) - IF(ISNUMBER(VLOOKUP("10.7.2.1.1",A2:W105,9,FALSE)),ROUND(VLOOKUP("10.7.2.1.1",A2:W105,9,FALSE),4),0) - IF(ISNUMBER(VLOOKUP("2.1.3",A2:W105,9,FALSE)),ROUND(VLOOKUP("2.1.3",A2:W105,9,FALSE),4),0) - IF(ISNA(VLOOKUP("10.11",A2:W105,9,FALSE)),0,ROUND(VLOOKUP("10.11",A2:W105,9,FALSE),4)))) / (IF(ISNUMBER(VLOOKUP("1.1",A2:W105,9,FALSE)),ROUND(VLOOKUP("1.1",A2:W105,9,FALSE),4),0) - IF(ISNUMBER(VLOOKUP("1.1.4",A2:W105,9,FALSE)),ROUND(VLOOKUP("1.1.4",A2:W105,9,FALSE),4),0) - IF(ISNA(VLOOKUP("11.1.1",A2:W105,9,FALSE)),0,ROUND(VLOOKUP("11.1.1",A2:W105,9,FALSE),4)))</f>
        <v>0.10310270659243118</v>
      </c>
      <c r="J62" s="16">
        <f>((IF(ISNUMBER(VLOOKUP("1.1",A2:W105,10,FALSE)),ROUND(VLOOKUP("1.1",A2:W105,10,FALSE),4),0) - IF(ISNUMBER(VLOOKUP("9.1.1",A2:W105,10,FALSE)),ROUND(VLOOKUP("9.1.1",A2:W105,10,FALSE),4),0) - IF(ISNA(VLOOKUP("11.1.1",A2:W105,10,FALSE)),0,ROUND(VLOOKUP("11.1.1",A2:W105,10,FALSE),4))) + IF(ISNUMBER(VLOOKUP("1.2.1",A2:W105,10,FALSE)),ROUND(VLOOKUP("1.2.1",A2:W105,10,FALSE),4),0) - (IF(ISNUMBER(VLOOKUP("2.1",A2:W105,10,FALSE)),ROUND(VLOOKUP("2.1",A2:W105,10,FALSE),4),0) - IF(ISNUMBER(VLOOKUP("9.3.1",A2:W105,10,FALSE)),ROUND(VLOOKUP("9.3.1",A2:W105,10,FALSE),4),0) - IF(ISNUMBER(VLOOKUP("10.7.2.1.1",A2:W105,10,FALSE)),ROUND(VLOOKUP("10.7.2.1.1",A2:W105,10,FALSE),4),0) - IF(ISNUMBER(VLOOKUP("2.1.3",A2:W105,10,FALSE)),ROUND(VLOOKUP("2.1.3",A2:W105,10,FALSE),4),0) - IF(ISNA(VLOOKUP("10.11",A2:W105,10,FALSE)),0,ROUND(VLOOKUP("10.11",A2:W105,10,FALSE),4)))) / (IF(ISNUMBER(VLOOKUP("1.1",A2:W105,10,FALSE)),ROUND(VLOOKUP("1.1",A2:W105,10,FALSE),4),0) - IF(ISNUMBER(VLOOKUP("1.1.4",A2:W105,10,FALSE)),ROUND(VLOOKUP("1.1.4",A2:W105,10,FALSE),4),0) - IF(ISNA(VLOOKUP("11.1.1",A2:W105,10,FALSE)),0,ROUND(VLOOKUP("11.1.1",A2:W105,10,FALSE),4)))</f>
        <v>0.12383319431000372</v>
      </c>
      <c r="K62" s="17">
        <f>((IF(ISNUMBER(VLOOKUP("1.1",A2:W105,11,FALSE)),ROUND(VLOOKUP("1.1",A2:W105,11,FALSE),4),0) - IF(ISNUMBER(VLOOKUP("9.1.1",A2:W105,11,FALSE)),ROUND(VLOOKUP("9.1.1",A2:W105,11,FALSE),4),0) - IF(ISNA(VLOOKUP("11.1.1",A2:W105,11,FALSE)),0,ROUND(VLOOKUP("11.1.1",A2:W105,11,FALSE),4))) + IF(ISNUMBER(VLOOKUP("1.2.1",A2:W105,11,FALSE)),ROUND(VLOOKUP("1.2.1",A2:W105,11,FALSE),4),0) - (IF(ISNUMBER(VLOOKUP("2.1",A2:W105,11,FALSE)),ROUND(VLOOKUP("2.1",A2:W105,11,FALSE),4),0) - IF(ISNUMBER(VLOOKUP("9.3.1",A2:W105,11,FALSE)),ROUND(VLOOKUP("9.3.1",A2:W105,11,FALSE),4),0) - IF(ISNUMBER(VLOOKUP("10.7.2.1.1",A2:W105,11,FALSE)),ROUND(VLOOKUP("10.7.2.1.1",A2:W105,11,FALSE),4),0) - IF(ISNUMBER(VLOOKUP("2.1.3",A2:W105,11,FALSE)),ROUND(VLOOKUP("2.1.3",A2:W105,11,FALSE),4),0) - IF(ISNA(VLOOKUP("10.11",A2:W105,11,FALSE)),0,ROUND(VLOOKUP("10.11",A2:W105,11,FALSE),4)))) / (IF(ISNUMBER(VLOOKUP("1.1",A2:W105,11,FALSE)),ROUND(VLOOKUP("1.1",A2:W105,11,FALSE),4),0) - IF(ISNUMBER(VLOOKUP("1.1.4",A2:W105,11,FALSE)),ROUND(VLOOKUP("1.1.4",A2:W105,11,FALSE),4),0) - IF(ISNA(VLOOKUP("11.1.1",A2:W105,11,FALSE)),0,ROUND(VLOOKUP("11.1.1",A2:W105,11,FALSE),4)))</f>
        <v>2.3043526041934936E-2</v>
      </c>
      <c r="L62" s="17">
        <f>((IF(ISNUMBER(VLOOKUP("1.1",A2:W105,12,FALSE)),ROUND(VLOOKUP("1.1",A2:W105,12,FALSE),4),0) - IF(ISNUMBER(VLOOKUP("9.1.1",A2:W105,12,FALSE)),ROUND(VLOOKUP("9.1.1",A2:W105,12,FALSE),4),0) - IF(ISNA(VLOOKUP("11.1.1",A2:W105,12,FALSE)),0,ROUND(VLOOKUP("11.1.1",A2:W105,12,FALSE),4))) + IF(ISNUMBER(VLOOKUP("1.2.1",A2:W105,12,FALSE)),ROUND(VLOOKUP("1.2.1",A2:W105,12,FALSE),4),0) - (IF(ISNUMBER(VLOOKUP("2.1",A2:W105,12,FALSE)),ROUND(VLOOKUP("2.1",A2:W105,12,FALSE),4),0) - IF(ISNUMBER(VLOOKUP("9.3.1",A2:W105,12,FALSE)),ROUND(VLOOKUP("9.3.1",A2:W105,12,FALSE),4),0) - IF(ISNUMBER(VLOOKUP("10.7.2.1.1",A2:W105,12,FALSE)),ROUND(VLOOKUP("10.7.2.1.1",A2:W105,12,FALSE),4),0) - IF(ISNUMBER(VLOOKUP("2.1.3",A2:W105,12,FALSE)),ROUND(VLOOKUP("2.1.3",A2:W105,12,FALSE),4),0) - IF(ISNA(VLOOKUP("10.11",A2:W105,12,FALSE)),0,ROUND(VLOOKUP("10.11",A2:W105,12,FALSE),4)))) / (IF(ISNUMBER(VLOOKUP("1.1",A2:W105,12,FALSE)),ROUND(VLOOKUP("1.1",A2:W105,12,FALSE),4),0) - IF(ISNUMBER(VLOOKUP("1.1.4",A2:W105,12,FALSE)),ROUND(VLOOKUP("1.1.4",A2:W105,12,FALSE),4),0) - IF(ISNA(VLOOKUP("11.1.1",A2:W105,12,FALSE)),0,ROUND(VLOOKUP("11.1.1",A2:W105,12,FALSE),4)))</f>
        <v>6.9952143997981733E-2</v>
      </c>
      <c r="M62" s="17">
        <f>((IF(ISNUMBER(VLOOKUP("1.1",A2:W105,13,FALSE)),ROUND(VLOOKUP("1.1",A2:W105,13,FALSE),4),0) - IF(ISNUMBER(VLOOKUP("9.1.1",A2:W105,13,FALSE)),ROUND(VLOOKUP("9.1.1",A2:W105,13,FALSE),4),0) - IF(ISNA(VLOOKUP("11.1.1",A2:W105,13,FALSE)),0,ROUND(VLOOKUP("11.1.1",A2:W105,13,FALSE),4))) + IF(ISNUMBER(VLOOKUP("1.2.1",A2:W105,13,FALSE)),ROUND(VLOOKUP("1.2.1",A2:W105,13,FALSE),4),0) - (IF(ISNUMBER(VLOOKUP("2.1",A2:W105,13,FALSE)),ROUND(VLOOKUP("2.1",A2:W105,13,FALSE),4),0) - IF(ISNUMBER(VLOOKUP("9.3.1",A2:W105,13,FALSE)),ROUND(VLOOKUP("9.3.1",A2:W105,13,FALSE),4),0) - IF(ISNUMBER(VLOOKUP("10.7.2.1.1",A2:W105,13,FALSE)),ROUND(VLOOKUP("10.7.2.1.1",A2:W105,13,FALSE),4),0) - IF(ISNUMBER(VLOOKUP("2.1.3",A2:W105,13,FALSE)),ROUND(VLOOKUP("2.1.3",A2:W105,13,FALSE),4),0) - IF(ISNA(VLOOKUP("10.11",A2:W105,13,FALSE)),0,ROUND(VLOOKUP("10.11",A2:W105,13,FALSE),4)))) / (IF(ISNUMBER(VLOOKUP("1.1",A2:W105,13,FALSE)),ROUND(VLOOKUP("1.1",A2:W105,13,FALSE),4),0) - IF(ISNUMBER(VLOOKUP("1.1.4",A2:W105,13,FALSE)),ROUND(VLOOKUP("1.1.4",A2:W105,13,FALSE),4),0) - IF(ISNA(VLOOKUP("11.1.1",A2:W105,13,FALSE)),0,ROUND(VLOOKUP("11.1.1",A2:W105,13,FALSE),4)))</f>
        <v>8.487502649315895E-2</v>
      </c>
      <c r="N62" s="17">
        <f>((IF(ISNUMBER(VLOOKUP("1.1",A2:W105,14,FALSE)),ROUND(VLOOKUP("1.1",A2:W105,14,FALSE),4),0) - IF(ISNUMBER(VLOOKUP("9.1.1",A2:W105,14,FALSE)),ROUND(VLOOKUP("9.1.1",A2:W105,14,FALSE),4),0) - IF(ISNA(VLOOKUP("11.1.1",A2:W105,14,FALSE)),0,ROUND(VLOOKUP("11.1.1",A2:W105,14,FALSE),4))) + IF(ISNUMBER(VLOOKUP("1.2.1",A2:W105,14,FALSE)),ROUND(VLOOKUP("1.2.1",A2:W105,14,FALSE),4),0) - (IF(ISNUMBER(VLOOKUP("2.1",A2:W105,14,FALSE)),ROUND(VLOOKUP("2.1",A2:W105,14,FALSE),4),0) - IF(ISNUMBER(VLOOKUP("9.3.1",A2:W105,14,FALSE)),ROUND(VLOOKUP("9.3.1",A2:W105,14,FALSE),4),0) - IF(ISNUMBER(VLOOKUP("10.7.2.1.1",A2:W105,14,FALSE)),ROUND(VLOOKUP("10.7.2.1.1",A2:W105,14,FALSE),4),0) - IF(ISNUMBER(VLOOKUP("2.1.3",A2:W105,14,FALSE)),ROUND(VLOOKUP("2.1.3",A2:W105,14,FALSE),4),0) - IF(ISNA(VLOOKUP("10.11",A2:W105,14,FALSE)),0,ROUND(VLOOKUP("10.11",A2:W105,14,FALSE),4)))) / (IF(ISNUMBER(VLOOKUP("1.1",A2:W105,14,FALSE)),ROUND(VLOOKUP("1.1",A2:W105,14,FALSE),4),0) - IF(ISNUMBER(VLOOKUP("1.1.4",A2:W105,14,FALSE)),ROUND(VLOOKUP("1.1.4",A2:W105,14,FALSE),4),0) - IF(ISNA(VLOOKUP("11.1.1",A2:W105,14,FALSE)),0,ROUND(VLOOKUP("11.1.1",A2:W105,14,FALSE),4)))</f>
        <v>8.1845948761028839E-2</v>
      </c>
      <c r="O62" s="17">
        <f>((IF(ISNUMBER(VLOOKUP("1.1",A2:W105,15,FALSE)),ROUND(VLOOKUP("1.1",A2:W105,15,FALSE),4),0) - IF(ISNUMBER(VLOOKUP("9.1.1",A2:W105,15,FALSE)),ROUND(VLOOKUP("9.1.1",A2:W105,15,FALSE),4),0) - IF(ISNA(VLOOKUP("11.1.1",A2:W105,15,FALSE)),0,ROUND(VLOOKUP("11.1.1",A2:W105,15,FALSE),4))) + IF(ISNUMBER(VLOOKUP("1.2.1",A2:W105,15,FALSE)),ROUND(VLOOKUP("1.2.1",A2:W105,15,FALSE),4),0) - (IF(ISNUMBER(VLOOKUP("2.1",A2:W105,15,FALSE)),ROUND(VLOOKUP("2.1",A2:W105,15,FALSE),4),0) - IF(ISNUMBER(VLOOKUP("9.3.1",A2:W105,15,FALSE)),ROUND(VLOOKUP("9.3.1",A2:W105,15,FALSE),4),0) - IF(ISNUMBER(VLOOKUP("10.7.2.1.1",A2:W105,15,FALSE)),ROUND(VLOOKUP("10.7.2.1.1",A2:W105,15,FALSE),4),0) - IF(ISNUMBER(VLOOKUP("2.1.3",A2:W105,15,FALSE)),ROUND(VLOOKUP("2.1.3",A2:W105,15,FALSE),4),0) - IF(ISNA(VLOOKUP("10.11",A2:W105,15,FALSE)),0,ROUND(VLOOKUP("10.11",A2:W105,15,FALSE),4)))) / (IF(ISNUMBER(VLOOKUP("1.1",A2:W105,15,FALSE)),ROUND(VLOOKUP("1.1",A2:W105,15,FALSE),4),0) - IF(ISNUMBER(VLOOKUP("1.1.4",A2:W105,15,FALSE)),ROUND(VLOOKUP("1.1.4",A2:W105,15,FALSE),4),0) - IF(ISNA(VLOOKUP("11.1.1",A2:W105,15,FALSE)),0,ROUND(VLOOKUP("11.1.1",A2:W105,15,FALSE),4)))</f>
        <v>9.4252718813931505E-2</v>
      </c>
      <c r="P62" s="17">
        <f>((IF(ISNUMBER(VLOOKUP("1.1",A2:W105,16,FALSE)),ROUND(VLOOKUP("1.1",A2:W105,16,FALSE),4),0) - IF(ISNUMBER(VLOOKUP("9.1.1",A2:W105,16,FALSE)),ROUND(VLOOKUP("9.1.1",A2:W105,16,FALSE),4),0) - IF(ISNA(VLOOKUP("11.1.1",A2:W105,16,FALSE)),0,ROUND(VLOOKUP("11.1.1",A2:W105,16,FALSE),4))) + IF(ISNUMBER(VLOOKUP("1.2.1",A2:W105,16,FALSE)),ROUND(VLOOKUP("1.2.1",A2:W105,16,FALSE),4),0) - (IF(ISNUMBER(VLOOKUP("2.1",A2:W105,16,FALSE)),ROUND(VLOOKUP("2.1",A2:W105,16,FALSE),4),0) - IF(ISNUMBER(VLOOKUP("9.3.1",A2:W105,16,FALSE)),ROUND(VLOOKUP("9.3.1",A2:W105,16,FALSE),4),0) - IF(ISNUMBER(VLOOKUP("10.7.2.1.1",A2:W105,16,FALSE)),ROUND(VLOOKUP("10.7.2.1.1",A2:W105,16,FALSE),4),0) - IF(ISNUMBER(VLOOKUP("2.1.3",A2:W105,16,FALSE)),ROUND(VLOOKUP("2.1.3",A2:W105,16,FALSE),4),0) - IF(ISNA(VLOOKUP("10.11",A2:W105,16,FALSE)),0,ROUND(VLOOKUP("10.11",A2:W105,16,FALSE),4)))) / (IF(ISNUMBER(VLOOKUP("1.1",A2:W105,16,FALSE)),ROUND(VLOOKUP("1.1",A2:W105,16,FALSE),4),0) - IF(ISNUMBER(VLOOKUP("1.1.4",A2:W105,16,FALSE)),ROUND(VLOOKUP("1.1.4",A2:W105,16,FALSE),4),0) - IF(ISNA(VLOOKUP("11.1.1",A2:W105,16,FALSE)),0,ROUND(VLOOKUP("11.1.1",A2:W105,16,FALSE),4)))</f>
        <v>0.10880974142897501</v>
      </c>
      <c r="Q62" s="17">
        <f>((IF(ISNUMBER(VLOOKUP("1.1",A2:W105,17,FALSE)),ROUND(VLOOKUP("1.1",A2:W105,17,FALSE),4),0) - IF(ISNUMBER(VLOOKUP("9.1.1",A2:W105,17,FALSE)),ROUND(VLOOKUP("9.1.1",A2:W105,17,FALSE),4),0) - IF(ISNA(VLOOKUP("11.1.1",A2:W105,17,FALSE)),0,ROUND(VLOOKUP("11.1.1",A2:W105,17,FALSE),4))) + IF(ISNUMBER(VLOOKUP("1.2.1",A2:W105,17,FALSE)),ROUND(VLOOKUP("1.2.1",A2:W105,17,FALSE),4),0) - (IF(ISNUMBER(VLOOKUP("2.1",A2:W105,17,FALSE)),ROUND(VLOOKUP("2.1",A2:W105,17,FALSE),4),0) - IF(ISNUMBER(VLOOKUP("9.3.1",A2:W105,17,FALSE)),ROUND(VLOOKUP("9.3.1",A2:W105,17,FALSE),4),0) - IF(ISNUMBER(VLOOKUP("10.7.2.1.1",A2:W105,17,FALSE)),ROUND(VLOOKUP("10.7.2.1.1",A2:W105,17,FALSE),4),0) - IF(ISNUMBER(VLOOKUP("2.1.3",A2:W105,17,FALSE)),ROUND(VLOOKUP("2.1.3",A2:W105,17,FALSE),4),0) - IF(ISNA(VLOOKUP("10.11",A2:W105,17,FALSE)),0,ROUND(VLOOKUP("10.11",A2:W105,17,FALSE),4)))) / (IF(ISNUMBER(VLOOKUP("1.1",A2:W105,17,FALSE)),ROUND(VLOOKUP("1.1",A2:W105,17,FALSE),4),0) - IF(ISNUMBER(VLOOKUP("1.1.4",A2:W105,17,FALSE)),ROUND(VLOOKUP("1.1.4",A2:W105,17,FALSE),4),0) - IF(ISNA(VLOOKUP("11.1.1",A2:W105,17,FALSE)),0,ROUND(VLOOKUP("11.1.1",A2:W105,17,FALSE),4)))</f>
        <v>0.1188989386468437</v>
      </c>
      <c r="R62" s="17">
        <f>((IF(ISNUMBER(VLOOKUP("1.1",A2:W105,18,FALSE)),ROUND(VLOOKUP("1.1",A2:W105,18,FALSE),4),0) - IF(ISNUMBER(VLOOKUP("9.1.1",A2:W105,18,FALSE)),ROUND(VLOOKUP("9.1.1",A2:W105,18,FALSE),4),0) - IF(ISNA(VLOOKUP("11.1.1",A2:W105,18,FALSE)),0,ROUND(VLOOKUP("11.1.1",A2:W105,18,FALSE),4))) + IF(ISNUMBER(VLOOKUP("1.2.1",A2:W105,18,FALSE)),ROUND(VLOOKUP("1.2.1",A2:W105,18,FALSE),4),0) - (IF(ISNUMBER(VLOOKUP("2.1",A2:W105,18,FALSE)),ROUND(VLOOKUP("2.1",A2:W105,18,FALSE),4),0) - IF(ISNUMBER(VLOOKUP("9.3.1",A2:W105,18,FALSE)),ROUND(VLOOKUP("9.3.1",A2:W105,18,FALSE),4),0) - IF(ISNUMBER(VLOOKUP("10.7.2.1.1",A2:W105,18,FALSE)),ROUND(VLOOKUP("10.7.2.1.1",A2:W105,18,FALSE),4),0) - IF(ISNUMBER(VLOOKUP("2.1.3",A2:W105,18,FALSE)),ROUND(VLOOKUP("2.1.3",A2:W105,18,FALSE),4),0) - IF(ISNA(VLOOKUP("10.11",A2:W105,18,FALSE)),0,ROUND(VLOOKUP("10.11",A2:W105,18,FALSE),4)))) / (IF(ISNUMBER(VLOOKUP("1.1",A2:W105,18,FALSE)),ROUND(VLOOKUP("1.1",A2:W105,18,FALSE),4),0) - IF(ISNUMBER(VLOOKUP("1.1.4",A2:W105,18,FALSE)),ROUND(VLOOKUP("1.1.4",A2:W105,18,FALSE),4),0) - IF(ISNA(VLOOKUP("11.1.1",A2:W105,18,FALSE)),0,ROUND(VLOOKUP("11.1.1",A2:W105,18,FALSE),4)))</f>
        <v>0.12722227052497484</v>
      </c>
      <c r="S62" s="17">
        <f>((IF(ISNUMBER(VLOOKUP("1.1",A2:W105,19,FALSE)),ROUND(VLOOKUP("1.1",A2:W105,19,FALSE),4),0) - IF(ISNUMBER(VLOOKUP("9.1.1",A2:W105,19,FALSE)),ROUND(VLOOKUP("9.1.1",A2:W105,19,FALSE),4),0) - IF(ISNA(VLOOKUP("11.1.1",A2:W105,19,FALSE)),0,ROUND(VLOOKUP("11.1.1",A2:W105,19,FALSE),4))) + IF(ISNUMBER(VLOOKUP("1.2.1",A2:W105,19,FALSE)),ROUND(VLOOKUP("1.2.1",A2:W105,19,FALSE),4),0) - (IF(ISNUMBER(VLOOKUP("2.1",A2:W105,19,FALSE)),ROUND(VLOOKUP("2.1",A2:W105,19,FALSE),4),0) - IF(ISNUMBER(VLOOKUP("9.3.1",A2:W105,19,FALSE)),ROUND(VLOOKUP("9.3.1",A2:W105,19,FALSE),4),0) - IF(ISNUMBER(VLOOKUP("10.7.2.1.1",A2:W105,19,FALSE)),ROUND(VLOOKUP("10.7.2.1.1",A2:W105,19,FALSE),4),0) - IF(ISNUMBER(VLOOKUP("2.1.3",A2:W105,19,FALSE)),ROUND(VLOOKUP("2.1.3",A2:W105,19,FALSE),4),0) - IF(ISNA(VLOOKUP("10.11",A2:W105,19,FALSE)),0,ROUND(VLOOKUP("10.11",A2:W105,19,FALSE),4)))) / (IF(ISNUMBER(VLOOKUP("1.1",A2:W105,19,FALSE)),ROUND(VLOOKUP("1.1",A2:W105,19,FALSE),4),0) - IF(ISNUMBER(VLOOKUP("1.1.4",A2:W105,19,FALSE)),ROUND(VLOOKUP("1.1.4",A2:W105,19,FALSE),4),0) - IF(ISNA(VLOOKUP("11.1.1",A2:W105,19,FALSE)),0,ROUND(VLOOKUP("11.1.1",A2:W105,19,FALSE),4)))</f>
        <v>0.13360517792880858</v>
      </c>
      <c r="T62" s="17">
        <f>((IF(ISNUMBER(VLOOKUP("1.1",A2:W105,20,FALSE)),ROUND(VLOOKUP("1.1",A2:W105,20,FALSE),4),0) - IF(ISNUMBER(VLOOKUP("9.1.1",A2:W105,20,FALSE)),ROUND(VLOOKUP("9.1.1",A2:W105,20,FALSE),4),0) - IF(ISNA(VLOOKUP("11.1.1",A2:W105,20,FALSE)),0,ROUND(VLOOKUP("11.1.1",A2:W105,20,FALSE),4))) + IF(ISNUMBER(VLOOKUP("1.2.1",A2:W105,20,FALSE)),ROUND(VLOOKUP("1.2.1",A2:W105,20,FALSE),4),0) - (IF(ISNUMBER(VLOOKUP("2.1",A2:W105,20,FALSE)),ROUND(VLOOKUP("2.1",A2:W105,20,FALSE),4),0) - IF(ISNUMBER(VLOOKUP("9.3.1",A2:W105,20,FALSE)),ROUND(VLOOKUP("9.3.1",A2:W105,20,FALSE),4),0) - IF(ISNUMBER(VLOOKUP("10.7.2.1.1",A2:W105,20,FALSE)),ROUND(VLOOKUP("10.7.2.1.1",A2:W105,20,FALSE),4),0) - IF(ISNUMBER(VLOOKUP("2.1.3",A2:W105,20,FALSE)),ROUND(VLOOKUP("2.1.3",A2:W105,20,FALSE),4),0) - IF(ISNA(VLOOKUP("10.11",A2:W105,20,FALSE)),0,ROUND(VLOOKUP("10.11",A2:W105,20,FALSE),4)))) / (IF(ISNUMBER(VLOOKUP("1.1",A2:W105,20,FALSE)),ROUND(VLOOKUP("1.1",A2:W105,20,FALSE),4),0) - IF(ISNUMBER(VLOOKUP("1.1.4",A2:W105,20,FALSE)),ROUND(VLOOKUP("1.1.4",A2:W105,20,FALSE),4),0) - IF(ISNA(VLOOKUP("11.1.1",A2:W105,20,FALSE)),0,ROUND(VLOOKUP("11.1.1",A2:W105,20,FALSE),4)))</f>
        <v>0.13900441049218712</v>
      </c>
      <c r="U62" s="17">
        <f>((IF(ISNUMBER(VLOOKUP("1.1",A2:W105,21,FALSE)),ROUND(VLOOKUP("1.1",A2:W105,21,FALSE),4),0) - IF(ISNUMBER(VLOOKUP("9.1.1",A2:W105,21,FALSE)),ROUND(VLOOKUP("9.1.1",A2:W105,21,FALSE),4),0) - IF(ISNA(VLOOKUP("11.1.1",A2:W105,21,FALSE)),0,ROUND(VLOOKUP("11.1.1",A2:W105,21,FALSE),4))) + IF(ISNUMBER(VLOOKUP("1.2.1",A2:W105,21,FALSE)),ROUND(VLOOKUP("1.2.1",A2:W105,21,FALSE),4),0) - (IF(ISNUMBER(VLOOKUP("2.1",A2:W105,21,FALSE)),ROUND(VLOOKUP("2.1",A2:W105,21,FALSE),4),0) - IF(ISNUMBER(VLOOKUP("9.3.1",A2:W105,21,FALSE)),ROUND(VLOOKUP("9.3.1",A2:W105,21,FALSE),4),0) - IF(ISNUMBER(VLOOKUP("10.7.2.1.1",A2:W105,21,FALSE)),ROUND(VLOOKUP("10.7.2.1.1",A2:W105,21,FALSE),4),0) - IF(ISNUMBER(VLOOKUP("2.1.3",A2:W105,21,FALSE)),ROUND(VLOOKUP("2.1.3",A2:W105,21,FALSE),4),0) - IF(ISNA(VLOOKUP("10.11",A2:W105,21,FALSE)),0,ROUND(VLOOKUP("10.11",A2:W105,21,FALSE),4)))) / (IF(ISNUMBER(VLOOKUP("1.1",A2:W105,21,FALSE)),ROUND(VLOOKUP("1.1",A2:W105,21,FALSE),4),0) - IF(ISNUMBER(VLOOKUP("1.1.4",A2:W105,21,FALSE)),ROUND(VLOOKUP("1.1.4",A2:W105,21,FALSE),4),0) - IF(ISNA(VLOOKUP("11.1.1",A2:W105,21,FALSE)),0,ROUND(VLOOKUP("11.1.1",A2:W105,21,FALSE),4)))</f>
        <v>0.14343536457254638</v>
      </c>
      <c r="V62" s="17">
        <f>((IF(ISNUMBER(VLOOKUP("1.1",A2:W105,22,FALSE)),ROUND(VLOOKUP("1.1",A2:W105,22,FALSE),4),0) - IF(ISNUMBER(VLOOKUP("9.1.1",A2:W105,22,FALSE)),ROUND(VLOOKUP("9.1.1",A2:W105,22,FALSE),4),0) - IF(ISNA(VLOOKUP("11.1.1",A2:W105,22,FALSE)),0,ROUND(VLOOKUP("11.1.1",A2:W105,22,FALSE),4))) + IF(ISNUMBER(VLOOKUP("1.2.1",A2:W105,22,FALSE)),ROUND(VLOOKUP("1.2.1",A2:W105,22,FALSE),4),0) - (IF(ISNUMBER(VLOOKUP("2.1",A2:W105,22,FALSE)),ROUND(VLOOKUP("2.1",A2:W105,22,FALSE),4),0) - IF(ISNUMBER(VLOOKUP("9.3.1",A2:W105,22,FALSE)),ROUND(VLOOKUP("9.3.1",A2:W105,22,FALSE),4),0) - IF(ISNUMBER(VLOOKUP("10.7.2.1.1",A2:W105,22,FALSE)),ROUND(VLOOKUP("10.7.2.1.1",A2:W105,22,FALSE),4),0) - IF(ISNUMBER(VLOOKUP("2.1.3",A2:W105,22,FALSE)),ROUND(VLOOKUP("2.1.3",A2:W105,22,FALSE),4),0) - IF(ISNA(VLOOKUP("10.11",A2:W105,22,FALSE)),0,ROUND(VLOOKUP("10.11",A2:W105,22,FALSE),4)))) / (IF(ISNUMBER(VLOOKUP("1.1",A2:W105,22,FALSE)),ROUND(VLOOKUP("1.1",A2:W105,22,FALSE),4),0) - IF(ISNUMBER(VLOOKUP("1.1.4",A2:W105,22,FALSE)),ROUND(VLOOKUP("1.1.4",A2:W105,22,FALSE),4),0) - IF(ISNA(VLOOKUP("11.1.1",A2:W105,22,FALSE)),0,ROUND(VLOOKUP("11.1.1",A2:W105,22,FALSE),4)))</f>
        <v>0.14712956989914955</v>
      </c>
      <c r="W62" s="17">
        <f>((IF(ISNUMBER(VLOOKUP("1.1",A2:W105,23,FALSE)),ROUND(VLOOKUP("1.1",A2:W105,23,FALSE),4),0) - IF(ISNUMBER(VLOOKUP("9.1.1",A2:W105,23,FALSE)),ROUND(VLOOKUP("9.1.1",A2:W105,23,FALSE),4),0) - IF(ISNA(VLOOKUP("11.1.1",A2:W105,23,FALSE)),0,ROUND(VLOOKUP("11.1.1",A2:W105,23,FALSE),4))) + IF(ISNUMBER(VLOOKUP("1.2.1",A2:W105,23,FALSE)),ROUND(VLOOKUP("1.2.1",A2:W105,23,FALSE),4),0) - (IF(ISNUMBER(VLOOKUP("2.1",A2:W105,23,FALSE)),ROUND(VLOOKUP("2.1",A2:W105,23,FALSE),4),0) - IF(ISNUMBER(VLOOKUP("9.3.1",A2:W105,23,FALSE)),ROUND(VLOOKUP("9.3.1",A2:W105,23,FALSE),4),0) - IF(ISNUMBER(VLOOKUP("10.7.2.1.1",A2:W105,23,FALSE)),ROUND(VLOOKUP("10.7.2.1.1",A2:W105,23,FALSE),4),0) - IF(ISNUMBER(VLOOKUP("2.1.3",A2:W105,23,FALSE)),ROUND(VLOOKUP("2.1.3",A2:W105,23,FALSE),4),0) - IF(ISNA(VLOOKUP("10.11",A2:W105,23,FALSE)),0,ROUND(VLOOKUP("10.11",A2:W105,23,FALSE),4)))) / (IF(ISNUMBER(VLOOKUP("1.1",A2:W105,23,FALSE)),ROUND(VLOOKUP("1.1",A2:W105,23,FALSE),4),0) - IF(ISNUMBER(VLOOKUP("1.1.4",A2:W105,23,FALSE)),ROUND(VLOOKUP("1.1.4",A2:W105,23,FALSE),4),0) - IF(ISNA(VLOOKUP("11.1.1",A2:W105,23,FALSE)),0,ROUND(VLOOKUP("11.1.1",A2:W105,23,FALSE),4)))</f>
        <v>0.14987928736106709</v>
      </c>
    </row>
    <row r="63" spans="1:23" ht="78.599999999999994" customHeight="1" x14ac:dyDescent="0.3">
      <c r="A63" s="14" t="s">
        <v>139</v>
      </c>
      <c r="B63" s="15" t="s">
        <v>140</v>
      </c>
      <c r="C63" s="16">
        <f t="shared" ref="C63:J64" si="0">0.15</f>
        <v>0.15</v>
      </c>
      <c r="D63" s="16">
        <f t="shared" si="0"/>
        <v>0.15</v>
      </c>
      <c r="E63" s="16">
        <f t="shared" si="0"/>
        <v>0.15</v>
      </c>
      <c r="F63" s="16">
        <f t="shared" si="0"/>
        <v>0.15</v>
      </c>
      <c r="G63" s="16">
        <f t="shared" si="0"/>
        <v>0.15</v>
      </c>
      <c r="H63" s="16">
        <f t="shared" si="0"/>
        <v>0.15</v>
      </c>
      <c r="I63" s="16">
        <f t="shared" si="0"/>
        <v>0.15</v>
      </c>
      <c r="J63" s="16">
        <f t="shared" si="0"/>
        <v>0.15</v>
      </c>
      <c r="K63" s="17">
        <f>(IF(ISNUMBER(VLOOKUP("8.2.x",A2:W105,3,FALSE)),ROUND(VLOOKUP("8.2.x",A2:W105,3,FALSE),4),0)+IF(ISNUMBER(VLOOKUP("8.2.x",A2:W105,4,FALSE)),ROUND(VLOOKUP("8.2.x",A2:W105,4,FALSE),4),0)+IF(ISNUMBER(VLOOKUP("8.2.x",A2:W105,5,FALSE)),ROUND(VLOOKUP("8.2.x",A2:W105,5,FALSE),4),0)+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105,9,FALSE)),ROUND(VLOOKUP("8.2.x",A2:W105,9,FALSE),4),0))/7</f>
        <v>0.16429999999999997</v>
      </c>
      <c r="L63" s="17">
        <f>(IF(ISNUMBER(VLOOKUP("8.2.x",A2:W105,4,FALSE)),ROUND(VLOOKUP("8.2.x",A2:W105,4,FALSE),4),0)+IF(ISNUMBER(VLOOKUP("8.2.x",A2:W105,5,FALSE)),ROUND(VLOOKUP("8.2.x",A2:W105,5,FALSE),4),0)+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105,9,FALSE)),ROUND(VLOOKUP("8.2.x",A2:W105,9,FALSE),4),0)+IF(ISNUMBER(VLOOKUP("8.2.x",A2:W105,11,FALSE)),ROUND(VLOOKUP("8.2.x",A2:W105,11,FALSE),4),0))/7</f>
        <v>0.13925714285714286</v>
      </c>
      <c r="M63" s="17">
        <f>(IF(ISNUMBER(VLOOKUP("8.2.x",A2:W105,5,FALSE)),ROUND(VLOOKUP("8.2.x",A2:W105,5,FALSE),4),0)+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105,9,FALSE)),ROUND(VLOOKUP("8.2.x",A2:W105,9,FALSE),4),0)+IF(ISNUMBER(VLOOKUP("8.2.x",A2:W105,11,FALSE)),ROUND(VLOOKUP("8.2.x",A2:W105,11,FALSE),4),0)+IF(ISNUMBER(VLOOKUP("8.2.x",A2:W105,12,FALSE)),ROUND(VLOOKUP("8.2.x",A2:W105,12,FALSE),4),0))/7</f>
        <v>0.11789999999999999</v>
      </c>
      <c r="N63" s="17">
        <f>(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105,9,FALSE)),ROUND(VLOOKUP("8.2.x",A2:W105,9,FALSE),4),0)+IF(ISNUMBER(VLOOKUP("8.2.x",A2:W105,11,FALSE)),ROUND(VLOOKUP("8.2.x",A2:W105,11,FALSE),4),0)+IF(ISNUMBER(VLOOKUP("8.2.x",A2:W105,12,FALSE)),ROUND(VLOOKUP("8.2.x",A2:W105,12,FALSE),4),0)+IF(ISNUMBER(VLOOKUP("8.2.x",A2:W105,13,FALSE)),ROUND(VLOOKUP("8.2.x",A2:W105,13,FALSE),4),0))/7</f>
        <v>0.10640000000000002</v>
      </c>
      <c r="O63" s="17">
        <f>(IF(ISNUMBER(VLOOKUP("8.2",A2:W105,7,FALSE)),ROUND(VLOOKUP("8.2",A2:W105,7,FALSE),4),0)+IF(ISNUMBER(VLOOKUP("8.2",A2:W105,8,FALSE)),ROUND(VLOOKUP("8.2",A2:W105,8,FALSE),4),0)+IF(ISNUMBER(VLOOKUP("8.2",A2:W105,9,FALSE)),ROUND(VLOOKUP("8.2",A2:W105,9,FALSE),4),0)+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)/7</f>
        <v>7.1828571428571436E-2</v>
      </c>
      <c r="P63" s="17">
        <f>(IF(ISNUMBER(VLOOKUP("8.2",A2:W105,8,FALSE)),ROUND(VLOOKUP("8.2",A2:W105,8,FALSE),4),0)+IF(ISNUMBER(VLOOKUP("8.2",A2:W105,9,FALSE)),ROUND(VLOOKUP("8.2",A2:W105,9,FALSE),4),0)+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)/7</f>
        <v>6.5642857142857142E-2</v>
      </c>
      <c r="Q63" s="17">
        <f>(IF(ISNUMBER(VLOOKUP("8.2",A2:W105,9,FALSE)),ROUND(VLOOKUP("8.2",A2:W105,9,FALSE),4),0)+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)/7</f>
        <v>6.8071428571428574E-2</v>
      </c>
      <c r="R63" s="17">
        <f>(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)/7</f>
        <v>7.7042857142857149E-2</v>
      </c>
      <c r="S63" s="17">
        <f>(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)/7</f>
        <v>9.3685714285714275E-2</v>
      </c>
      <c r="T63" s="17">
        <f>(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)/7</f>
        <v>0.10495714285714285</v>
      </c>
      <c r="U63" s="17">
        <f>(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+IF(ISNUMBER(VLOOKUP("8.2",A2:W105,20,FALSE)),ROUND(VLOOKUP("8.2",A2:W105,20,FALSE),4),0))/7</f>
        <v>0.11480000000000001</v>
      </c>
      <c r="V63" s="17">
        <f>(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+IF(ISNUMBER(VLOOKUP("8.2",A2:W105,20,FALSE)),ROUND(VLOOKUP("8.2",A2:W105,20,FALSE),4),0)+IF(ISNUMBER(VLOOKUP("8.2",A2:W105,21,FALSE)),ROUND(VLOOKUP("8.2",A2:W105,21,FALSE),4),0))/7</f>
        <v>0.1236</v>
      </c>
      <c r="W63" s="17">
        <f>(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+IF(ISNUMBER(VLOOKUP("8.2",A2:W105,20,FALSE)),ROUND(VLOOKUP("8.2",A2:W105,20,FALSE),4),0)+IF(ISNUMBER(VLOOKUP("8.2",A2:W105,21,FALSE)),ROUND(VLOOKUP("8.2",A2:W105,21,FALSE),4),0)+IF(ISNUMBER(VLOOKUP("8.2",A2:W105,22,FALSE)),ROUND(VLOOKUP("8.2",A2:W105,22,FALSE),4),0))/7</f>
        <v>0.13114285714285714</v>
      </c>
    </row>
    <row r="64" spans="1:23" ht="78.599999999999994" customHeight="1" x14ac:dyDescent="0.3">
      <c r="A64" s="14" t="s">
        <v>141</v>
      </c>
      <c r="B64" s="15" t="s">
        <v>142</v>
      </c>
      <c r="C64" s="16">
        <f t="shared" si="0"/>
        <v>0.15</v>
      </c>
      <c r="D64" s="16">
        <f t="shared" si="0"/>
        <v>0.15</v>
      </c>
      <c r="E64" s="16">
        <f t="shared" si="0"/>
        <v>0.15</v>
      </c>
      <c r="F64" s="16">
        <f t="shared" si="0"/>
        <v>0.15</v>
      </c>
      <c r="G64" s="16">
        <f t="shared" si="0"/>
        <v>0.15</v>
      </c>
      <c r="H64" s="16">
        <f t="shared" si="0"/>
        <v>0.15</v>
      </c>
      <c r="I64" s="16">
        <f t="shared" si="0"/>
        <v>0.15</v>
      </c>
      <c r="J64" s="16">
        <f t="shared" si="0"/>
        <v>0.15</v>
      </c>
      <c r="K64" s="17">
        <f>(IF(ISNUMBER(VLOOKUP("8.2.x",A2:W105,3,FALSE)),ROUND(VLOOKUP("8.2.x",A2:W105,3,FALSE),4),0)+IF(ISNUMBER(VLOOKUP("8.2.x",A2:W105,4,FALSE)),ROUND(VLOOKUP("8.2.x",A2:W105,4,FALSE),4),0)+IF(ISNUMBER(VLOOKUP("8.2.x",A2:W105,5,FALSE)),ROUND(VLOOKUP("8.2.x",A2:W105,5,FALSE),4),0)+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105,10,FALSE)),ROUND(VLOOKUP("8.2.x",A2:W105,10,FALSE),4),0))/7</f>
        <v>0.16725714285714283</v>
      </c>
      <c r="L64" s="17">
        <f>(IF(ISNUMBER(VLOOKUP("8.2.x",A2:W105,4,FALSE)),ROUND(VLOOKUP("8.2.x",A2:W105,4,FALSE),4),0)+IF(ISNUMBER(VLOOKUP("8.2.x",A2:W105,5,FALSE)),ROUND(VLOOKUP("8.2.x",A2:W105,5,FALSE),4),0)+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105,10,FALSE)),ROUND(VLOOKUP("8.2.x",A2:W105,10,FALSE),4),0)+IF(ISNUMBER(VLOOKUP("8.2.x",A2:W105,11,FALSE)),ROUND(VLOOKUP("8.2.x",A2:W105,11,FALSE),4),0))/7</f>
        <v>0.14221428571428571</v>
      </c>
      <c r="M64" s="17">
        <f>(IF(ISNUMBER(VLOOKUP("8.2.x",A2:W105,5,FALSE)),ROUND(VLOOKUP("8.2.x",A2:W105,5,FALSE),4),0)+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105,10,FALSE)),ROUND(VLOOKUP("8.2.x",A2:W105,10,FALSE),4),0)+IF(ISNUMBER(VLOOKUP("8.2.x",A2:W105,11,FALSE)),ROUND(VLOOKUP("8.2.x",A2:W105,11,FALSE),4),0)+IF(ISNUMBER(VLOOKUP("8.2.x",A2:W105,12,FALSE)),ROUND(VLOOKUP("8.2.x",A2:W105,12,FALSE),4),0))/7</f>
        <v>0.12085714285714287</v>
      </c>
      <c r="N64" s="17">
        <f>(IF(ISNUMBER(VLOOKUP("8.2.x",A2:W105,6,FALSE)),ROUND(VLOOKUP("8.2.x",A2:W105,6,FALSE),4),0)+IF(ISNUMBER(VLOOKUP("8.2.x",A2:W105,7,FALSE)),ROUND(VLOOKUP("8.2.x",A2:W105,7,FALSE),4),0)+IF(ISNUMBER(VLOOKUP("8.2.x",A2:W105,8,FALSE)),ROUND(VLOOKUP("8.2.x",A2:W105,8,FALSE),4),0)+IF(ISNUMBER(VLOOKUP("8.2.x",A2:W105,10,FALSE)),ROUND(VLOOKUP("8.2.x",A2:W105,10,FALSE),4),0)+IF(ISNUMBER(VLOOKUP("8.2.x",A2:W105,11,FALSE)),ROUND(VLOOKUP("8.2.x",A2:W105,11,FALSE),4),0)+IF(ISNUMBER(VLOOKUP("8.2.x",A2:W105,12,FALSE)),ROUND(VLOOKUP("8.2.x",A2:W105,12,FALSE),4),0)+IF(ISNUMBER(VLOOKUP("8.2.x",A2:W105,13,FALSE)),ROUND(VLOOKUP("8.2.x",A2:W105,13,FALSE),4),0))/7</f>
        <v>0.10935714285714286</v>
      </c>
      <c r="O64" s="17">
        <f>(IF(ISNUMBER(VLOOKUP("8.2",A2:W105,7,FALSE)),ROUND(VLOOKUP("8.2",A2:W105,7,FALSE),4),0)+IF(ISNUMBER(VLOOKUP("8.2",A2:W105,8,FALSE)),ROUND(VLOOKUP("8.2",A2:W105,8,FALSE),4),0)+IF(ISNUMBER(VLOOKUP("8.2",A2:W105,10,FALSE)),ROUND(VLOOKUP("8.2",A2:W105,10,FALSE),4),0)+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)/7</f>
        <v>7.8114285714285719E-2</v>
      </c>
      <c r="P64" s="17">
        <f>(IF(ISNUMBER(VLOOKUP("8.2",A2:W105,8,FALSE)),ROUND(VLOOKUP("8.2",A2:W105,8,FALSE),4),0)+IF(ISNUMBER(VLOOKUP("8.2",A2:W105,10,FALSE)),ROUND(VLOOKUP("8.2",A2:W105,10,FALSE),4),0)+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)/7</f>
        <v>7.1928571428571425E-2</v>
      </c>
      <c r="Q64" s="17">
        <f>(IF(ISNUMBER(VLOOKUP("8.2",A2:W105,10,FALSE)),ROUND(VLOOKUP("8.2",A2:W105,10,FALSE),4),0)+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)/7</f>
        <v>7.4357142857142858E-2</v>
      </c>
      <c r="R64" s="17">
        <f>(IF(ISNUMBER(VLOOKUP("8.2",A2:W105,11,FALSE)),ROUND(VLOOKUP("8.2",A2:W105,11,FALSE),4),0)+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)/7</f>
        <v>7.7042857142857149E-2</v>
      </c>
      <c r="S64" s="17">
        <f>(IF(ISNUMBER(VLOOKUP("8.2",A2:W105,12,FALSE)),ROUND(VLOOKUP("8.2",A2:W105,12,FALSE),4),0)+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)/7</f>
        <v>9.3685714285714275E-2</v>
      </c>
      <c r="T64" s="17">
        <f>(IF(ISNUMBER(VLOOKUP("8.2",A2:W105,13,FALSE)),ROUND(VLOOKUP("8.2",A2:W105,13,FALSE),4),0)+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)/7</f>
        <v>0.10495714285714285</v>
      </c>
      <c r="U64" s="17">
        <f>(IF(ISNUMBER(VLOOKUP("8.2",A2:W105,14,FALSE)),ROUND(VLOOKUP("8.2",A2:W105,14,FALSE),4),0)+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+IF(ISNUMBER(VLOOKUP("8.2",A2:W105,20,FALSE)),ROUND(VLOOKUP("8.2",A2:W105,20,FALSE),4),0))/7</f>
        <v>0.11480000000000001</v>
      </c>
      <c r="V64" s="17">
        <f>(IF(ISNUMBER(VLOOKUP("8.2",A2:W105,15,FALSE)),ROUND(VLOOKUP("8.2",A2:W105,15,FALSE),4),0)+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+IF(ISNUMBER(VLOOKUP("8.2",A2:W105,20,FALSE)),ROUND(VLOOKUP("8.2",A2:W105,20,FALSE),4),0)+IF(ISNUMBER(VLOOKUP("8.2",A2:W105,21,FALSE)),ROUND(VLOOKUP("8.2",A2:W105,21,FALSE),4),0))/7</f>
        <v>0.1236</v>
      </c>
      <c r="W64" s="17">
        <f>(IF(ISNUMBER(VLOOKUP("8.2",A2:W105,16,FALSE)),ROUND(VLOOKUP("8.2",A2:W105,16,FALSE),4),0)+IF(ISNUMBER(VLOOKUP("8.2",A2:W105,17,FALSE)),ROUND(VLOOKUP("8.2",A2:W105,17,FALSE),4),0)+IF(ISNUMBER(VLOOKUP("8.2",A2:W105,18,FALSE)),ROUND(VLOOKUP("8.2",A2:W105,18,FALSE),4),0)+IF(ISNUMBER(VLOOKUP("8.2",A2:W105,19,FALSE)),ROUND(VLOOKUP("8.2",A2:W105,19,FALSE),4),0)+IF(ISNUMBER(VLOOKUP("8.2",A2:W105,20,FALSE)),ROUND(VLOOKUP("8.2",A2:W105,20,FALSE),4),0)+IF(ISNUMBER(VLOOKUP("8.2",A2:W105,21,FALSE)),ROUND(VLOOKUP("8.2",A2:W105,21,FALSE),4),0)+IF(ISNUMBER(VLOOKUP("8.2",A2:W105,22,FALSE)),ROUND(VLOOKUP("8.2",A2:W105,22,FALSE),4),0))/7</f>
        <v>0.13114285714285714</v>
      </c>
    </row>
    <row r="65" spans="1:23" ht="78.599999999999994" customHeight="1" x14ac:dyDescent="0.3">
      <c r="A65" s="2" t="s">
        <v>143</v>
      </c>
      <c r="B65" s="3" t="s">
        <v>144</v>
      </c>
      <c r="C65" s="18" t="str">
        <f>IF(IF(ISNUMBER(VLOOKUP("8.1",A2:W105,3,FALSE)),ROUND(VLOOKUP("8.1",A2:W105,3,FALSE),4),0) - IF(ISNUMBER(VLOOKUP("8.3",A2:W105,3,FALSE)),ROUND(VLOOKUP("8.3",A2:W105,3,FALSE),4),0) &lt;= 0, "Tak", "Nie")</f>
        <v>Tak</v>
      </c>
      <c r="D65" s="18" t="str">
        <f>IF(IF(ISNUMBER(VLOOKUP("8.1",A2:W105,4,FALSE)),ROUND(VLOOKUP("8.1",A2:W105,4,FALSE),4),0) - IF(ISNUMBER(VLOOKUP("8.3",A2:W105,4,FALSE)),ROUND(VLOOKUP("8.3",A2:W105,4,FALSE),4),0) &lt;= 0, "Tak", "Nie")</f>
        <v>Tak</v>
      </c>
      <c r="E65" s="18" t="str">
        <f>IF(IF(ISNUMBER(VLOOKUP("8.1",A2:W105,5,FALSE)),ROUND(VLOOKUP("8.1",A2:W105,5,FALSE),4),0) - IF(ISNUMBER(VLOOKUP("8.3",A2:W105,5,FALSE)),ROUND(VLOOKUP("8.3",A2:W105,5,FALSE),4),0) &lt;= 0, "Tak", "Nie")</f>
        <v>Tak</v>
      </c>
      <c r="F65" s="18" t="str">
        <f>IF(IF(ISNUMBER(VLOOKUP("8.1",A2:W105,6,FALSE)),ROUND(VLOOKUP("8.1",A2:W105,6,FALSE),4),0) - IF(ISNUMBER(VLOOKUP("8.3",A2:W105,6,FALSE)),ROUND(VLOOKUP("8.3",A2:W105,6,FALSE),4),0) &lt;= 0, "Tak", "Nie")</f>
        <v>Tak</v>
      </c>
      <c r="G65" s="18" t="str">
        <f>IF(IF(ISNUMBER(VLOOKUP("8.1",A2:W105,7,FALSE)),ROUND(VLOOKUP("8.1",A2:W105,7,FALSE),4),0) - IF(ISNUMBER(VLOOKUP("8.3",A2:W105,7,FALSE)),ROUND(VLOOKUP("8.3",A2:W105,7,FALSE),4),0) &lt;= 0, "Tak", "Nie")</f>
        <v>Tak</v>
      </c>
      <c r="H65" s="18" t="str">
        <f>IF(IF(ISNUMBER(VLOOKUP("8.1",A2:W105,8,FALSE)),ROUND(VLOOKUP("8.1",A2:W105,8,FALSE),4),0) - IF(ISNUMBER(VLOOKUP("8.3",A2:W105,8,FALSE)),ROUND(VLOOKUP("8.3",A2:W105,8,FALSE),4),0) &lt;= 0, "Tak", "Nie")</f>
        <v>Tak</v>
      </c>
      <c r="I65" s="18" t="str">
        <f>IF(IF(ISNUMBER(VLOOKUP("8.1",A2:W105,9,FALSE)),ROUND(VLOOKUP("8.1",A2:W105,9,FALSE),4),0) - IF(ISNUMBER(VLOOKUP("8.3",A2:W105,9,FALSE)),ROUND(VLOOKUP("8.3",A2:W105,9,FALSE),4),0) &lt;= 0, "Tak", "Nie")</f>
        <v>Tak</v>
      </c>
      <c r="J65" s="18" t="str">
        <f>IF(IF(ISNUMBER(VLOOKUP("8.1",A2:W105,10,FALSE)),ROUND(VLOOKUP("8.1",A2:W105,10,FALSE),4),0) - IF(ISNUMBER(VLOOKUP("8.3",A2:W105,10,FALSE)),ROUND(VLOOKUP("8.3",A2:W105,10,FALSE),4),0) &lt;= 0, "Tak", "Nie")</f>
        <v>Tak</v>
      </c>
      <c r="K65" s="18" t="str">
        <f>IF(IF(ISNUMBER(VLOOKUP("8.1",A2:W105,11,FALSE)),ROUND(VLOOKUP("8.1",A2:W105,11,FALSE),4),0) - IF(ISNUMBER(VLOOKUP("8.3",A2:W105,11,FALSE)),ROUND(VLOOKUP("8.3",A2:W105,11,FALSE),4),0) &lt;= 0, "Tak", "Nie")</f>
        <v>Tak</v>
      </c>
      <c r="L65" s="18" t="str">
        <f>IF(IF(ISNUMBER(VLOOKUP("8.1",A2:W105,12,FALSE)),ROUND(VLOOKUP("8.1",A2:W105,12,FALSE),4),0) - IF(ISNUMBER(VLOOKUP("8.3",A2:W105,12,FALSE)),ROUND(VLOOKUP("8.3",A2:W105,12,FALSE),4),0) &lt;= 0, "Tak", "Nie")</f>
        <v>Tak</v>
      </c>
      <c r="M65" s="18" t="str">
        <f>IF(IF(ISNUMBER(VLOOKUP("8.1",A2:W105,13,FALSE)),ROUND(VLOOKUP("8.1",A2:W105,13,FALSE),4),0) - IF(ISNUMBER(VLOOKUP("8.3",A2:W105,13,FALSE)),ROUND(VLOOKUP("8.3",A2:W105,13,FALSE),4),0) &lt;= 0, "Tak", "Nie")</f>
        <v>Tak</v>
      </c>
      <c r="N65" s="18" t="str">
        <f>IF(IF(ISNUMBER(VLOOKUP("8.1",A2:W105,14,FALSE)),ROUND(VLOOKUP("8.1",A2:W105,14,FALSE),4),0) - IF(ISNUMBER(VLOOKUP("8.3",A2:W105,14,FALSE)),ROUND(VLOOKUP("8.3",A2:W105,14,FALSE),4),0) &lt;= 0, "Tak", "Nie")</f>
        <v>Tak</v>
      </c>
      <c r="O65" s="18" t="str">
        <f>IF(IF(ISNUMBER(VLOOKUP("8.1",A2:W105,15,FALSE)),ROUND(VLOOKUP("8.1",A2:W105,15,FALSE),4),0) - IF(ISNUMBER(VLOOKUP("8.3",A2:W105,15,FALSE)),ROUND(VLOOKUP("8.3",A2:W105,15,FALSE),4),0) &lt;= 0, "Tak", "Nie")</f>
        <v>Tak</v>
      </c>
      <c r="P65" s="18" t="str">
        <f>IF(IF(ISNUMBER(VLOOKUP("8.1",A2:W105,16,FALSE)),ROUND(VLOOKUP("8.1",A2:W105,16,FALSE),4),0) - IF(ISNUMBER(VLOOKUP("8.3",A2:W105,16,FALSE)),ROUND(VLOOKUP("8.3",A2:W105,16,FALSE),4),0) &lt;= 0, "Tak", "Nie")</f>
        <v>Tak</v>
      </c>
      <c r="Q65" s="18" t="str">
        <f>IF(IF(ISNUMBER(VLOOKUP("8.1",A2:W105,17,FALSE)),ROUND(VLOOKUP("8.1",A2:W105,17,FALSE),4),0) - IF(ISNUMBER(VLOOKUP("8.3",A2:W105,17,FALSE)),ROUND(VLOOKUP("8.3",A2:W105,17,FALSE),4),0) &lt;= 0, "Tak", "Nie")</f>
        <v>Tak</v>
      </c>
      <c r="R65" s="18" t="str">
        <f>IF(IF(ISNUMBER(VLOOKUP("8.1",A2:W105,18,FALSE)),ROUND(VLOOKUP("8.1",A2:W105,18,FALSE),4),0) - IF(ISNUMBER(VLOOKUP("8.3",A2:W105,18,FALSE)),ROUND(VLOOKUP("8.3",A2:W105,18,FALSE),4),0) &lt;= 0, "Tak", "Nie")</f>
        <v>Tak</v>
      </c>
      <c r="S65" s="18" t="str">
        <f>IF(IF(ISNUMBER(VLOOKUP("8.1",A2:W105,19,FALSE)),ROUND(VLOOKUP("8.1",A2:W105,19,FALSE),4),0) - IF(ISNUMBER(VLOOKUP("8.3",A2:W105,19,FALSE)),ROUND(VLOOKUP("8.3",A2:W105,19,FALSE),4),0) &lt;= 0, "Tak", "Nie")</f>
        <v>Tak</v>
      </c>
      <c r="T65" s="18" t="str">
        <f>IF(IF(ISNUMBER(VLOOKUP("8.1",A2:W105,20,FALSE)),ROUND(VLOOKUP("8.1",A2:W105,20,FALSE),4),0) - IF(ISNUMBER(VLOOKUP("8.3",A2:W105,20,FALSE)),ROUND(VLOOKUP("8.3",A2:W105,20,FALSE),4),0) &lt;= 0, "Tak", "Nie")</f>
        <v>Tak</v>
      </c>
      <c r="U65" s="18" t="str">
        <f>IF(IF(ISNUMBER(VLOOKUP("8.1",A2:W105,21,FALSE)),ROUND(VLOOKUP("8.1",A2:W105,21,FALSE),4),0) - IF(ISNUMBER(VLOOKUP("8.3",A2:W105,21,FALSE)),ROUND(VLOOKUP("8.3",A2:W105,21,FALSE),4),0) &lt;= 0, "Tak", "Nie")</f>
        <v>Tak</v>
      </c>
      <c r="V65" s="18" t="str">
        <f>IF(IF(ISNUMBER(VLOOKUP("8.1",A2:W105,22,FALSE)),ROUND(VLOOKUP("8.1",A2:W105,22,FALSE),4),0) - IF(ISNUMBER(VLOOKUP("8.3",A2:W105,22,FALSE)),ROUND(VLOOKUP("8.3",A2:W105,22,FALSE),4),0) &lt;= 0, "Tak", "Nie")</f>
        <v>Tak</v>
      </c>
      <c r="W65" s="18" t="str">
        <f>IF(IF(ISNUMBER(VLOOKUP("8.1",A2:W105,23,FALSE)),ROUND(VLOOKUP("8.1",A2:W105,23,FALSE),4),0) - IF(ISNUMBER(VLOOKUP("8.3",A2:W105,23,FALSE)),ROUND(VLOOKUP("8.3",A2:W105,23,FALSE),4),0) &lt;= 0, "Tak", "Nie")</f>
        <v>Tak</v>
      </c>
    </row>
    <row r="66" spans="1:23" ht="78.599999999999994" customHeight="1" x14ac:dyDescent="0.3">
      <c r="A66" s="6" t="s">
        <v>145</v>
      </c>
      <c r="B66" s="7" t="s">
        <v>146</v>
      </c>
      <c r="C66" s="19" t="str">
        <f>IF(IF(ISNUMBER(VLOOKUP("8.1",A2:W105,3,FALSE)),ROUND(VLOOKUP("8.1",A2:W105,3,FALSE),4),0) - IF(ISNUMBER(VLOOKUP("8.3.1",A2:W105,3,FALSE)),ROUND(VLOOKUP("8.3.1",A2:W105,3,FALSE),4),0) &lt;= 0, "Tak", "Nie")</f>
        <v>Tak</v>
      </c>
      <c r="D66" s="19" t="str">
        <f>IF(IF(ISNUMBER(VLOOKUP("8.1",A2:W105,4,FALSE)),ROUND(VLOOKUP("8.1",A2:W105,4,FALSE),4),0) - IF(ISNUMBER(VLOOKUP("8.3.1",A2:W105,4,FALSE)),ROUND(VLOOKUP("8.3.1",A2:W105,4,FALSE),4),0) &lt;= 0, "Tak", "Nie")</f>
        <v>Tak</v>
      </c>
      <c r="E66" s="19" t="str">
        <f>IF(IF(ISNUMBER(VLOOKUP("8.1",A2:W105,5,FALSE)),ROUND(VLOOKUP("8.1",A2:W105,5,FALSE),4),0) - IF(ISNUMBER(VLOOKUP("8.3.1",A2:W105,5,FALSE)),ROUND(VLOOKUP("8.3.1",A2:W105,5,FALSE),4),0) &lt;= 0, "Tak", "Nie")</f>
        <v>Tak</v>
      </c>
      <c r="F66" s="19" t="str">
        <f>IF(IF(ISNUMBER(VLOOKUP("8.1",A2:W105,6,FALSE)),ROUND(VLOOKUP("8.1",A2:W105,6,FALSE),4),0) - IF(ISNUMBER(VLOOKUP("8.3.1",A2:W105,6,FALSE)),ROUND(VLOOKUP("8.3.1",A2:W105,6,FALSE),4),0) &lt;= 0, "Tak", "Nie")</f>
        <v>Tak</v>
      </c>
      <c r="G66" s="19" t="str">
        <f>IF(IF(ISNUMBER(VLOOKUP("8.1",A2:W105,7,FALSE)),ROUND(VLOOKUP("8.1",A2:W105,7,FALSE),4),0) - IF(ISNUMBER(VLOOKUP("8.3.1",A2:W105,7,FALSE)),ROUND(VLOOKUP("8.3.1",A2:W105,7,FALSE),4),0) &lt;= 0, "Tak", "Nie")</f>
        <v>Tak</v>
      </c>
      <c r="H66" s="19" t="str">
        <f>IF(IF(ISNUMBER(VLOOKUP("8.1",A2:W105,8,FALSE)),ROUND(VLOOKUP("8.1",A2:W105,8,FALSE),4),0) - IF(ISNUMBER(VLOOKUP("8.3.1",A2:W105,8,FALSE)),ROUND(VLOOKUP("8.3.1",A2:W105,8,FALSE),4),0) &lt;= 0, "Tak", "Nie")</f>
        <v>Tak</v>
      </c>
      <c r="I66" s="19" t="str">
        <f>IF(IF(ISNUMBER(VLOOKUP("8.1",A2:W105,9,FALSE)),ROUND(VLOOKUP("8.1",A2:W105,9,FALSE),4),0) - IF(ISNUMBER(VLOOKUP("8.3.1",A2:W105,9,FALSE)),ROUND(VLOOKUP("8.3.1",A2:W105,9,FALSE),4),0) &lt;= 0, "Tak", "Nie")</f>
        <v>Tak</v>
      </c>
      <c r="J66" s="19" t="str">
        <f>IF(IF(ISNUMBER(VLOOKUP("8.1",A2:W105,10,FALSE)),ROUND(VLOOKUP("8.1",A2:W105,10,FALSE),4),0) - IF(ISNUMBER(VLOOKUP("8.3.1",A2:W105,10,FALSE)),ROUND(VLOOKUP("8.3.1",A2:W105,10,FALSE),4),0) &lt;= 0, "Tak", "Nie")</f>
        <v>Tak</v>
      </c>
      <c r="K66" s="19" t="str">
        <f>IF(IF(ISNUMBER(VLOOKUP("8.1",A2:W105,11,FALSE)),ROUND(VLOOKUP("8.1",A2:W105,11,FALSE),4),0) - IF(ISNUMBER(VLOOKUP("8.3.1",A2:W105,11,FALSE)),ROUND(VLOOKUP("8.3.1",A2:W105,11,FALSE),4),0) &lt;= 0, "Tak", "Nie")</f>
        <v>Tak</v>
      </c>
      <c r="L66" s="19" t="str">
        <f>IF(IF(ISNUMBER(VLOOKUP("8.1",A2:W105,12,FALSE)),ROUND(VLOOKUP("8.1",A2:W105,12,FALSE),4),0) - IF(ISNUMBER(VLOOKUP("8.3.1",A2:W105,12,FALSE)),ROUND(VLOOKUP("8.3.1",A2:W105,12,FALSE),4),0) &lt;= 0, "Tak", "Nie")</f>
        <v>Tak</v>
      </c>
      <c r="M66" s="19" t="str">
        <f>IF(IF(ISNUMBER(VLOOKUP("8.1",A2:W105,13,FALSE)),ROUND(VLOOKUP("8.1",A2:W105,13,FALSE),4),0) - IF(ISNUMBER(VLOOKUP("8.3.1",A2:W105,13,FALSE)),ROUND(VLOOKUP("8.3.1",A2:W105,13,FALSE),4),0) &lt;= 0, "Tak", "Nie")</f>
        <v>Tak</v>
      </c>
      <c r="N66" s="19" t="str">
        <f>IF(IF(ISNUMBER(VLOOKUP("8.1",A2:W105,14,FALSE)),ROUND(VLOOKUP("8.1",A2:W105,14,FALSE),4),0) - IF(ISNUMBER(VLOOKUP("8.3.1",A2:W105,14,FALSE)),ROUND(VLOOKUP("8.3.1",A2:W105,14,FALSE),4),0) &lt;= 0, "Tak", "Nie")</f>
        <v>Tak</v>
      </c>
      <c r="O66" s="19" t="str">
        <f>IF(IF(ISNUMBER(VLOOKUP("8.1",A2:W105,15,FALSE)),ROUND(VLOOKUP("8.1",A2:W105,15,FALSE),4),0) - IF(ISNUMBER(VLOOKUP("8.3.1",A2:W105,15,FALSE)),ROUND(VLOOKUP("8.3.1",A2:W105,15,FALSE),4),0) &lt;= 0, "Tak", "Nie")</f>
        <v>Tak</v>
      </c>
      <c r="P66" s="19" t="str">
        <f>IF(IF(ISNUMBER(VLOOKUP("8.1",A2:W105,16,FALSE)),ROUND(VLOOKUP("8.1",A2:W105,16,FALSE),4),0) - IF(ISNUMBER(VLOOKUP("8.3.1",A2:W105,16,FALSE)),ROUND(VLOOKUP("8.3.1",A2:W105,16,FALSE),4),0) &lt;= 0, "Tak", "Nie")</f>
        <v>Tak</v>
      </c>
      <c r="Q66" s="19" t="str">
        <f>IF(IF(ISNUMBER(VLOOKUP("8.1",A2:W105,17,FALSE)),ROUND(VLOOKUP("8.1",A2:W105,17,FALSE),4),0) - IF(ISNUMBER(VLOOKUP("8.3.1",A2:W105,17,FALSE)),ROUND(VLOOKUP("8.3.1",A2:W105,17,FALSE),4),0) &lt;= 0, "Tak", "Nie")</f>
        <v>Tak</v>
      </c>
      <c r="R66" s="19" t="str">
        <f>IF(IF(ISNUMBER(VLOOKUP("8.1",A2:W105,18,FALSE)),ROUND(VLOOKUP("8.1",A2:W105,18,FALSE),4),0) - IF(ISNUMBER(VLOOKUP("8.3.1",A2:W105,18,FALSE)),ROUND(VLOOKUP("8.3.1",A2:W105,18,FALSE),4),0) &lt;= 0, "Tak", "Nie")</f>
        <v>Tak</v>
      </c>
      <c r="S66" s="19" t="str">
        <f>IF(IF(ISNUMBER(VLOOKUP("8.1",A2:W105,19,FALSE)),ROUND(VLOOKUP("8.1",A2:W105,19,FALSE),4),0) - IF(ISNUMBER(VLOOKUP("8.3.1",A2:W105,19,FALSE)),ROUND(VLOOKUP("8.3.1",A2:W105,19,FALSE),4),0) &lt;= 0, "Tak", "Nie")</f>
        <v>Tak</v>
      </c>
      <c r="T66" s="19" t="str">
        <f>IF(IF(ISNUMBER(VLOOKUP("8.1",A2:W105,20,FALSE)),ROUND(VLOOKUP("8.1",A2:W105,20,FALSE),4),0) - IF(ISNUMBER(VLOOKUP("8.3.1",A2:W105,20,FALSE)),ROUND(VLOOKUP("8.3.1",A2:W105,20,FALSE),4),0) &lt;= 0, "Tak", "Nie")</f>
        <v>Tak</v>
      </c>
      <c r="U66" s="19" t="str">
        <f>IF(IF(ISNUMBER(VLOOKUP("8.1",A2:W105,21,FALSE)),ROUND(VLOOKUP("8.1",A2:W105,21,FALSE),4),0) - IF(ISNUMBER(VLOOKUP("8.3.1",A2:W105,21,FALSE)),ROUND(VLOOKUP("8.3.1",A2:W105,21,FALSE),4),0) &lt;= 0, "Tak", "Nie")</f>
        <v>Tak</v>
      </c>
      <c r="V66" s="19" t="str">
        <f>IF(IF(ISNUMBER(VLOOKUP("8.1",A2:W105,22,FALSE)),ROUND(VLOOKUP("8.1",A2:W105,22,FALSE),4),0) - IF(ISNUMBER(VLOOKUP("8.3.1",A2:W105,22,FALSE)),ROUND(VLOOKUP("8.3.1",A2:W105,22,FALSE),4),0) &lt;= 0, "Tak", "Nie")</f>
        <v>Tak</v>
      </c>
      <c r="W66" s="19" t="str">
        <f>IF(IF(ISNUMBER(VLOOKUP("8.1",A2:W105,23,FALSE)),ROUND(VLOOKUP("8.1",A2:W105,23,FALSE),4),0) - IF(ISNUMBER(VLOOKUP("8.3.1",A2:W105,23,FALSE)),ROUND(VLOOKUP("8.3.1",A2:W105,23,FALSE),4),0) &lt;= 0, "Tak", "Nie")</f>
        <v>Tak</v>
      </c>
    </row>
    <row r="67" spans="1:23" ht="39.9" customHeight="1" x14ac:dyDescent="0.3">
      <c r="A67" s="2" t="s">
        <v>147</v>
      </c>
      <c r="B67" s="3" t="s">
        <v>148</v>
      </c>
      <c r="C67" s="24" t="s">
        <v>126</v>
      </c>
      <c r="D67" s="24" t="s">
        <v>126</v>
      </c>
      <c r="E67" s="24" t="s">
        <v>126</v>
      </c>
      <c r="F67" s="24" t="s">
        <v>126</v>
      </c>
      <c r="G67" s="24" t="s">
        <v>126</v>
      </c>
      <c r="H67" s="24" t="s">
        <v>126</v>
      </c>
      <c r="I67" s="24" t="s">
        <v>126</v>
      </c>
      <c r="J67" s="24" t="s">
        <v>126</v>
      </c>
      <c r="K67" s="25" t="s">
        <v>126</v>
      </c>
      <c r="L67" s="25" t="s">
        <v>126</v>
      </c>
      <c r="M67" s="25" t="s">
        <v>126</v>
      </c>
      <c r="N67" s="25" t="s">
        <v>126</v>
      </c>
      <c r="O67" s="25" t="s">
        <v>126</v>
      </c>
      <c r="P67" s="25" t="s">
        <v>126</v>
      </c>
      <c r="Q67" s="25" t="s">
        <v>126</v>
      </c>
      <c r="R67" s="25" t="s">
        <v>126</v>
      </c>
      <c r="S67" s="25" t="s">
        <v>126</v>
      </c>
      <c r="T67" s="25" t="s">
        <v>126</v>
      </c>
      <c r="U67" s="25" t="s">
        <v>126</v>
      </c>
      <c r="V67" s="25" t="s">
        <v>126</v>
      </c>
      <c r="W67" s="25" t="s">
        <v>126</v>
      </c>
    </row>
    <row r="68" spans="1:23" ht="39.9" customHeight="1" x14ac:dyDescent="0.3">
      <c r="A68" s="6" t="s">
        <v>149</v>
      </c>
      <c r="B68" s="7" t="s">
        <v>150</v>
      </c>
      <c r="C68" s="8">
        <v>265675.15999999997</v>
      </c>
      <c r="D68" s="8">
        <v>12000</v>
      </c>
      <c r="E68" s="8">
        <v>14028.48</v>
      </c>
      <c r="F68" s="8">
        <v>331055.01</v>
      </c>
      <c r="G68" s="8">
        <v>300717.43</v>
      </c>
      <c r="H68" s="8">
        <v>283053.42</v>
      </c>
      <c r="I68" s="8">
        <v>173574.37</v>
      </c>
      <c r="J68" s="8">
        <v>173574.37</v>
      </c>
      <c r="K68" s="9">
        <v>59000.18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</row>
    <row r="69" spans="1:23" ht="52.8" customHeight="1" x14ac:dyDescent="0.3">
      <c r="A69" s="6" t="s">
        <v>151</v>
      </c>
      <c r="B69" s="7" t="s">
        <v>152</v>
      </c>
      <c r="C69" s="8">
        <v>265675.15999999997</v>
      </c>
      <c r="D69" s="8">
        <v>12000</v>
      </c>
      <c r="E69" s="8">
        <v>14028.48</v>
      </c>
      <c r="F69" s="8">
        <v>331055.01</v>
      </c>
      <c r="G69" s="8">
        <v>300717.43</v>
      </c>
      <c r="H69" s="8">
        <v>283053.42</v>
      </c>
      <c r="I69" s="8">
        <v>173574.37</v>
      </c>
      <c r="J69" s="8">
        <v>173574.37</v>
      </c>
      <c r="K69" s="9">
        <v>59000.18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</row>
    <row r="70" spans="1:23" ht="14.25" customHeight="1" x14ac:dyDescent="0.3">
      <c r="A70" s="6" t="s">
        <v>153</v>
      </c>
      <c r="B70" s="7" t="s">
        <v>154</v>
      </c>
      <c r="C70" s="8">
        <v>233043.88</v>
      </c>
      <c r="D70" s="8">
        <v>9180</v>
      </c>
      <c r="E70" s="8">
        <v>11209.01</v>
      </c>
      <c r="F70" s="8">
        <v>316116.71000000002</v>
      </c>
      <c r="G70" s="8">
        <v>300717.43</v>
      </c>
      <c r="H70" s="8">
        <v>283053.42</v>
      </c>
      <c r="I70" s="8">
        <v>173574.37</v>
      </c>
      <c r="J70" s="8">
        <v>173574.37</v>
      </c>
      <c r="K70" s="9">
        <v>59000.18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</row>
    <row r="71" spans="1:23" ht="39.9" customHeight="1" x14ac:dyDescent="0.3">
      <c r="A71" s="6" t="s">
        <v>155</v>
      </c>
      <c r="B71" s="7" t="s">
        <v>156</v>
      </c>
      <c r="C71" s="8">
        <v>2964052.9</v>
      </c>
      <c r="D71" s="8">
        <v>3402077.56</v>
      </c>
      <c r="E71" s="8">
        <v>1845833.62</v>
      </c>
      <c r="F71" s="8">
        <v>3710774.27</v>
      </c>
      <c r="G71" s="8">
        <v>5836539.7000000002</v>
      </c>
      <c r="H71" s="8">
        <v>5910232.0999999996</v>
      </c>
      <c r="I71" s="8">
        <v>8527153.0899999999</v>
      </c>
      <c r="J71" s="8">
        <v>5262870.25</v>
      </c>
      <c r="K71" s="9">
        <v>7963132.4100000001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</row>
    <row r="72" spans="1:23" ht="39.9" customHeight="1" x14ac:dyDescent="0.3">
      <c r="A72" s="6" t="s">
        <v>157</v>
      </c>
      <c r="B72" s="7" t="s">
        <v>158</v>
      </c>
      <c r="C72" s="8">
        <v>2964052.9</v>
      </c>
      <c r="D72" s="8">
        <v>3402077.56</v>
      </c>
      <c r="E72" s="8">
        <v>1845833.62</v>
      </c>
      <c r="F72" s="8">
        <v>3710774.27</v>
      </c>
      <c r="G72" s="8">
        <v>5836539.7000000002</v>
      </c>
      <c r="H72" s="8">
        <v>5910232.0999999996</v>
      </c>
      <c r="I72" s="8">
        <v>8527153.0899999999</v>
      </c>
      <c r="J72" s="8">
        <v>5262870.25</v>
      </c>
      <c r="K72" s="9">
        <v>7963132.4100000001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</row>
    <row r="73" spans="1:23" ht="14.25" customHeight="1" x14ac:dyDescent="0.3">
      <c r="A73" s="6" t="s">
        <v>159</v>
      </c>
      <c r="B73" s="7" t="s">
        <v>154</v>
      </c>
      <c r="C73" s="8">
        <v>2751475.51</v>
      </c>
      <c r="D73" s="8">
        <v>3402077.56</v>
      </c>
      <c r="E73" s="8">
        <v>1845833.62</v>
      </c>
      <c r="F73" s="8">
        <v>3710774.27</v>
      </c>
      <c r="G73" s="8">
        <v>5836539.7000000002</v>
      </c>
      <c r="H73" s="8">
        <v>5910232.0999999996</v>
      </c>
      <c r="I73" s="8">
        <v>8527153.0899999999</v>
      </c>
      <c r="J73" s="8">
        <v>5262870.25</v>
      </c>
      <c r="K73" s="9">
        <v>7963132.4100000001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</row>
    <row r="74" spans="1:23" ht="39.9" customHeight="1" x14ac:dyDescent="0.3">
      <c r="A74" s="6" t="s">
        <v>160</v>
      </c>
      <c r="B74" s="7" t="s">
        <v>161</v>
      </c>
      <c r="C74" s="8">
        <v>592234.68000000005</v>
      </c>
      <c r="D74" s="8">
        <v>28156.959999999999</v>
      </c>
      <c r="E74" s="8">
        <v>91473.47</v>
      </c>
      <c r="F74" s="8">
        <v>404043.11</v>
      </c>
      <c r="G74" s="8">
        <v>255127.77</v>
      </c>
      <c r="H74" s="8">
        <v>386115.9</v>
      </c>
      <c r="I74" s="8">
        <v>353375.52</v>
      </c>
      <c r="J74" s="8">
        <v>324101.65999999997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</row>
    <row r="75" spans="1:23" ht="39.9" customHeight="1" x14ac:dyDescent="0.3">
      <c r="A75" s="6" t="s">
        <v>162</v>
      </c>
      <c r="B75" s="7" t="s">
        <v>163</v>
      </c>
      <c r="C75" s="8">
        <v>592234.68000000005</v>
      </c>
      <c r="D75" s="8">
        <v>28156.959999999999</v>
      </c>
      <c r="E75" s="8">
        <v>91473.47</v>
      </c>
      <c r="F75" s="8">
        <v>404043.11</v>
      </c>
      <c r="G75" s="8">
        <v>255127.77</v>
      </c>
      <c r="H75" s="8">
        <v>386115.9</v>
      </c>
      <c r="I75" s="8">
        <v>353375.52</v>
      </c>
      <c r="J75" s="8">
        <v>324101.65999999997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</row>
    <row r="76" spans="1:23" ht="27" customHeight="1" x14ac:dyDescent="0.3">
      <c r="A76" s="6" t="s">
        <v>164</v>
      </c>
      <c r="B76" s="7" t="s">
        <v>165</v>
      </c>
      <c r="C76" s="8">
        <v>538078.06999999995</v>
      </c>
      <c r="D76" s="8">
        <v>23055.91</v>
      </c>
      <c r="E76" s="8">
        <v>74908.95</v>
      </c>
      <c r="F76" s="8">
        <v>271804.75</v>
      </c>
      <c r="G76" s="8">
        <v>230404.54</v>
      </c>
      <c r="H76" s="8">
        <v>361375.05</v>
      </c>
      <c r="I76" s="8">
        <v>171151.86</v>
      </c>
      <c r="J76" s="8">
        <v>141878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</row>
    <row r="77" spans="1:23" ht="39.9" customHeight="1" x14ac:dyDescent="0.3">
      <c r="A77" s="6" t="s">
        <v>166</v>
      </c>
      <c r="B77" s="7" t="s">
        <v>167</v>
      </c>
      <c r="C77" s="8">
        <v>3753696.41</v>
      </c>
      <c r="D77" s="8">
        <v>0</v>
      </c>
      <c r="E77" s="8">
        <v>7042421.9400000004</v>
      </c>
      <c r="F77" s="8">
        <v>8075341.9900000002</v>
      </c>
      <c r="G77" s="8">
        <v>3671369.13</v>
      </c>
      <c r="H77" s="8">
        <v>14322157.119999999</v>
      </c>
      <c r="I77" s="8">
        <v>5078872.84</v>
      </c>
      <c r="J77" s="8">
        <v>5078872.84</v>
      </c>
      <c r="K77" s="9">
        <v>285000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</row>
    <row r="78" spans="1:23" ht="39.9" customHeight="1" x14ac:dyDescent="0.3">
      <c r="A78" s="6" t="s">
        <v>168</v>
      </c>
      <c r="B78" s="7" t="s">
        <v>169</v>
      </c>
      <c r="C78" s="8">
        <v>3753696.41</v>
      </c>
      <c r="D78" s="8">
        <v>0</v>
      </c>
      <c r="E78" s="8">
        <v>7042421.9400000004</v>
      </c>
      <c r="F78" s="8">
        <v>8075341.9900000002</v>
      </c>
      <c r="G78" s="8">
        <v>3671369.13</v>
      </c>
      <c r="H78" s="8">
        <v>14322157.119999999</v>
      </c>
      <c r="I78" s="8">
        <v>5078872.84</v>
      </c>
      <c r="J78" s="8">
        <v>5078872.84</v>
      </c>
      <c r="K78" s="9">
        <v>285000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</row>
    <row r="79" spans="1:23" ht="27" customHeight="1" x14ac:dyDescent="0.3">
      <c r="A79" s="6" t="s">
        <v>170</v>
      </c>
      <c r="B79" s="7" t="s">
        <v>165</v>
      </c>
      <c r="C79" s="8">
        <v>2154406.67</v>
      </c>
      <c r="D79" s="8">
        <v>0</v>
      </c>
      <c r="E79" s="8">
        <v>3820917.43</v>
      </c>
      <c r="F79" s="8">
        <v>6518270.8300000001</v>
      </c>
      <c r="G79" s="8">
        <v>2938295.24</v>
      </c>
      <c r="H79" s="8">
        <v>10449013.59</v>
      </c>
      <c r="I79" s="8">
        <v>3440166.9</v>
      </c>
      <c r="J79" s="8">
        <v>3440166.9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</row>
    <row r="80" spans="1:23" ht="27" customHeight="1" x14ac:dyDescent="0.3">
      <c r="A80" s="2" t="s">
        <v>171</v>
      </c>
      <c r="B80" s="3" t="s">
        <v>172</v>
      </c>
      <c r="C80" s="24" t="s">
        <v>126</v>
      </c>
      <c r="D80" s="24" t="s">
        <v>126</v>
      </c>
      <c r="E80" s="24" t="s">
        <v>126</v>
      </c>
      <c r="F80" s="24" t="s">
        <v>126</v>
      </c>
      <c r="G80" s="24" t="s">
        <v>126</v>
      </c>
      <c r="H80" s="24" t="s">
        <v>126</v>
      </c>
      <c r="I80" s="24" t="s">
        <v>126</v>
      </c>
      <c r="J80" s="24" t="s">
        <v>126</v>
      </c>
      <c r="K80" s="25" t="s">
        <v>126</v>
      </c>
      <c r="L80" s="25" t="s">
        <v>126</v>
      </c>
      <c r="M80" s="25" t="s">
        <v>126</v>
      </c>
      <c r="N80" s="25" t="s">
        <v>126</v>
      </c>
      <c r="O80" s="25" t="s">
        <v>126</v>
      </c>
      <c r="P80" s="25" t="s">
        <v>126</v>
      </c>
      <c r="Q80" s="25" t="s">
        <v>126</v>
      </c>
      <c r="R80" s="25" t="s">
        <v>126</v>
      </c>
      <c r="S80" s="25" t="s">
        <v>126</v>
      </c>
      <c r="T80" s="25" t="s">
        <v>126</v>
      </c>
      <c r="U80" s="25" t="s">
        <v>126</v>
      </c>
      <c r="V80" s="25" t="s">
        <v>126</v>
      </c>
      <c r="W80" s="25" t="s">
        <v>126</v>
      </c>
    </row>
    <row r="81" spans="1:23" ht="27" customHeight="1" x14ac:dyDescent="0.3">
      <c r="A81" s="6" t="s">
        <v>173</v>
      </c>
      <c r="B81" s="7" t="s">
        <v>174</v>
      </c>
      <c r="C81" s="10">
        <f>IF(ISNUMBER(VLOOKUP("10.1.1",A2:W105,3,FALSE)),ROUND(VLOOKUP("10.1.1",A2:W105,3,FALSE),4),0) + IF(ISNUMBER(VLOOKUP("10.1.2",A2:W105,3,FALSE)),ROUND(VLOOKUP("10.1.2",A2:W105,3,FALSE),4),0)</f>
        <v>0</v>
      </c>
      <c r="D81" s="10">
        <f>IF(ISNUMBER(VLOOKUP("10.1.1",A2:W105,4,FALSE)),ROUND(VLOOKUP("10.1.1",A2:W105,4,FALSE),4),0) + IF(ISNUMBER(VLOOKUP("10.1.2",A2:W105,4,FALSE)),ROUND(VLOOKUP("10.1.2",A2:W105,4,FALSE),4),0)</f>
        <v>0</v>
      </c>
      <c r="E81" s="10">
        <f>IF(ISNUMBER(VLOOKUP("10.1.1",A2:W105,5,FALSE)),ROUND(VLOOKUP("10.1.1",A2:W105,5,FALSE),4),0) + IF(ISNUMBER(VLOOKUP("10.1.2",A2:W105,5,FALSE)),ROUND(VLOOKUP("10.1.2",A2:W105,5,FALSE),4),0)</f>
        <v>0</v>
      </c>
      <c r="F81" s="10">
        <f>IF(ISNUMBER(VLOOKUP("10.1.1",A2:W105,6,FALSE)),ROUND(VLOOKUP("10.1.1",A2:W105,6,FALSE),4),0) + IF(ISNUMBER(VLOOKUP("10.1.2",A2:W105,6,FALSE)),ROUND(VLOOKUP("10.1.2",A2:W105,6,FALSE),4),0)</f>
        <v>35894474.380000003</v>
      </c>
      <c r="G81" s="10">
        <f>IF(ISNUMBER(VLOOKUP("10.1.1",A2:W105,7,FALSE)),ROUND(VLOOKUP("10.1.1",A2:W105,7,FALSE),4),0) + IF(ISNUMBER(VLOOKUP("10.1.2",A2:W105,7,FALSE)),ROUND(VLOOKUP("10.1.2",A2:W105,7,FALSE),4),0)</f>
        <v>33786065.5</v>
      </c>
      <c r="H81" s="10">
        <f>IF(ISNUMBER(VLOOKUP("10.1.1",A2:W105,8,FALSE)),ROUND(VLOOKUP("10.1.1",A2:W105,8,FALSE),4),0) + IF(ISNUMBER(VLOOKUP("10.1.2",A2:W105,8,FALSE)),ROUND(VLOOKUP("10.1.2",A2:W105,8,FALSE),4),0)</f>
        <v>54234164.890000001</v>
      </c>
      <c r="I81" s="10">
        <f>IF(ISNUMBER(VLOOKUP("10.1.1",A2:W105,9,FALSE)),ROUND(VLOOKUP("10.1.1",A2:W105,9,FALSE),4),0) + IF(ISNUMBER(VLOOKUP("10.1.2",A2:W105,9,FALSE)),ROUND(VLOOKUP("10.1.2",A2:W105,9,FALSE),4),0)</f>
        <v>24139186.879999999</v>
      </c>
      <c r="J81" s="10">
        <f>IF(ISNUMBER(VLOOKUP("10.1.1",A2:W105,10,FALSE)),ROUND(VLOOKUP("10.1.1",A2:W105,10,FALSE),4),0) + IF(ISNUMBER(VLOOKUP("10.1.2",A2:W105,10,FALSE)),ROUND(VLOOKUP("10.1.2",A2:W105,10,FALSE),4),0)</f>
        <v>24139186.879999999</v>
      </c>
      <c r="K81" s="11">
        <f>IF(ISNUMBER(VLOOKUP("10.1.1",A2:W105,11,FALSE)),ROUND(VLOOKUP("10.1.1",A2:W105,11,FALSE),4),0) + IF(ISNUMBER(VLOOKUP("10.1.2",A2:W105,11,FALSE)),ROUND(VLOOKUP("10.1.2",A2:W105,11,FALSE),4),0)</f>
        <v>35098738.75</v>
      </c>
      <c r="L81" s="11">
        <f>IF(ISNUMBER(VLOOKUP("10.1.1",A2:W105,12,FALSE)),ROUND(VLOOKUP("10.1.1",A2:W105,12,FALSE),4),0) + IF(ISNUMBER(VLOOKUP("10.1.2",A2:W105,12,FALSE)),ROUND(VLOOKUP("10.1.2",A2:W105,12,FALSE),4),0)</f>
        <v>21909094.349999998</v>
      </c>
      <c r="M81" s="11">
        <f>IF(ISNUMBER(VLOOKUP("10.1.1",A2:W105,13,FALSE)),ROUND(VLOOKUP("10.1.1",A2:W105,13,FALSE),4),0) + IF(ISNUMBER(VLOOKUP("10.1.2",A2:W105,13,FALSE)),ROUND(VLOOKUP("10.1.2",A2:W105,13,FALSE),4),0)</f>
        <v>7611071.6400000006</v>
      </c>
      <c r="N81" s="11">
        <f>IF(ISNUMBER(VLOOKUP("10.1.1",A2:W105,14,FALSE)),ROUND(VLOOKUP("10.1.1",A2:W105,14,FALSE),4),0) + IF(ISNUMBER(VLOOKUP("10.1.2",A2:W105,14,FALSE)),ROUND(VLOOKUP("10.1.2",A2:W105,14,FALSE),4),0)</f>
        <v>8219053.0700000003</v>
      </c>
      <c r="O81" s="11">
        <f>IF(ISNUMBER(VLOOKUP("10.1.1",A2:W105,15,FALSE)),ROUND(VLOOKUP("10.1.1",A2:W105,15,FALSE),4),0) + IF(ISNUMBER(VLOOKUP("10.1.2",A2:W105,15,FALSE)),ROUND(VLOOKUP("10.1.2",A2:W105,15,FALSE),4),0)</f>
        <v>0</v>
      </c>
      <c r="P81" s="11">
        <f>IF(ISNUMBER(VLOOKUP("10.1.1",A2:W105,16,FALSE)),ROUND(VLOOKUP("10.1.1",A2:W105,16,FALSE),4),0) + IF(ISNUMBER(VLOOKUP("10.1.2",A2:W105,16,FALSE)),ROUND(VLOOKUP("10.1.2",A2:W105,16,FALSE),4),0)</f>
        <v>0</v>
      </c>
      <c r="Q81" s="11">
        <f>IF(ISNUMBER(VLOOKUP("10.1.1",A2:W105,17,FALSE)),ROUND(VLOOKUP("10.1.1",A2:W105,17,FALSE),4),0) + IF(ISNUMBER(VLOOKUP("10.1.2",A2:W105,17,FALSE)),ROUND(VLOOKUP("10.1.2",A2:W105,17,FALSE),4),0)</f>
        <v>0</v>
      </c>
      <c r="R81" s="11">
        <f>IF(ISNUMBER(VLOOKUP("10.1.1",A2:W105,18,FALSE)),ROUND(VLOOKUP("10.1.1",A2:W105,18,FALSE),4),0) + IF(ISNUMBER(VLOOKUP("10.1.2",A2:W105,18,FALSE)),ROUND(VLOOKUP("10.1.2",A2:W105,18,FALSE),4),0)</f>
        <v>0</v>
      </c>
      <c r="S81" s="11">
        <f>IF(ISNUMBER(VLOOKUP("10.1.1",A2:W105,19,FALSE)),ROUND(VLOOKUP("10.1.1",A2:W105,19,FALSE),4),0) + IF(ISNUMBER(VLOOKUP("10.1.2",A2:W105,19,FALSE)),ROUND(VLOOKUP("10.1.2",A2:W105,19,FALSE),4),0)</f>
        <v>0</v>
      </c>
      <c r="T81" s="11">
        <f>IF(ISNUMBER(VLOOKUP("10.1.1",A2:W105,20,FALSE)),ROUND(VLOOKUP("10.1.1",A2:W105,20,FALSE),4),0) + IF(ISNUMBER(VLOOKUP("10.1.2",A2:W105,20,FALSE)),ROUND(VLOOKUP("10.1.2",A2:W105,20,FALSE),4),0)</f>
        <v>0</v>
      </c>
      <c r="U81" s="11">
        <f>IF(ISNUMBER(VLOOKUP("10.1.1",A2:W105,21,FALSE)),ROUND(VLOOKUP("10.1.1",A2:W105,21,FALSE),4),0) + IF(ISNUMBER(VLOOKUP("10.1.2",A2:W105,21,FALSE)),ROUND(VLOOKUP("10.1.2",A2:W105,21,FALSE),4),0)</f>
        <v>0</v>
      </c>
      <c r="V81" s="11">
        <f>IF(ISNUMBER(VLOOKUP("10.1.1",A2:W105,22,FALSE)),ROUND(VLOOKUP("10.1.1",A2:W105,22,FALSE),4),0) + IF(ISNUMBER(VLOOKUP("10.1.2",A2:W105,22,FALSE)),ROUND(VLOOKUP("10.1.2",A2:W105,22,FALSE),4),0)</f>
        <v>0</v>
      </c>
      <c r="W81" s="11">
        <f>IF(ISNUMBER(VLOOKUP("10.1.1",A2:W105,23,FALSE)),ROUND(VLOOKUP("10.1.1",A2:W105,23,FALSE),4),0) + IF(ISNUMBER(VLOOKUP("10.1.2",A2:W105,23,FALSE)),ROUND(VLOOKUP("10.1.2",A2:W105,23,FALSE),4),0)</f>
        <v>0</v>
      </c>
    </row>
    <row r="82" spans="1:23" ht="14.25" customHeight="1" x14ac:dyDescent="0.3">
      <c r="A82" s="6" t="s">
        <v>175</v>
      </c>
      <c r="B82" s="7" t="s">
        <v>176</v>
      </c>
      <c r="C82" s="10">
        <v>0</v>
      </c>
      <c r="D82" s="10">
        <v>0</v>
      </c>
      <c r="E82" s="10">
        <v>0</v>
      </c>
      <c r="F82" s="10">
        <v>3967811.79</v>
      </c>
      <c r="G82" s="10">
        <v>9105484.0899999999</v>
      </c>
      <c r="H82" s="10">
        <v>8723956.8300000001</v>
      </c>
      <c r="I82" s="10">
        <v>6593815.4500000002</v>
      </c>
      <c r="J82" s="10">
        <v>6593815.4500000002</v>
      </c>
      <c r="K82" s="11">
        <v>6451820.4699999997</v>
      </c>
      <c r="L82" s="11">
        <v>3831908.65</v>
      </c>
      <c r="M82" s="11">
        <v>3511071.64</v>
      </c>
      <c r="N82" s="11">
        <v>3569053.07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</row>
    <row r="83" spans="1:23" ht="14.25" customHeight="1" x14ac:dyDescent="0.3">
      <c r="A83" s="6" t="s">
        <v>177</v>
      </c>
      <c r="B83" s="7" t="s">
        <v>178</v>
      </c>
      <c r="C83" s="10">
        <v>0</v>
      </c>
      <c r="D83" s="10">
        <v>0</v>
      </c>
      <c r="E83" s="10">
        <v>0</v>
      </c>
      <c r="F83" s="10">
        <v>31926662.59</v>
      </c>
      <c r="G83" s="10">
        <v>24680581.41</v>
      </c>
      <c r="H83" s="10">
        <v>45510208.060000002</v>
      </c>
      <c r="I83" s="10">
        <v>17545371.43</v>
      </c>
      <c r="J83" s="10">
        <v>17545371.43</v>
      </c>
      <c r="K83" s="11">
        <v>28646918.280000001</v>
      </c>
      <c r="L83" s="11">
        <v>18077185.699999999</v>
      </c>
      <c r="M83" s="11">
        <v>4100000</v>
      </c>
      <c r="N83" s="11">
        <v>4650000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</row>
    <row r="84" spans="1:23" ht="27" customHeight="1" x14ac:dyDescent="0.3">
      <c r="A84" s="6" t="s">
        <v>179</v>
      </c>
      <c r="B84" s="7" t="s">
        <v>180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</row>
    <row r="85" spans="1:23" ht="39.9" customHeight="1" x14ac:dyDescent="0.3">
      <c r="A85" s="6" t="s">
        <v>181</v>
      </c>
      <c r="B85" s="7" t="s">
        <v>182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</row>
    <row r="86" spans="1:23" ht="52.8" customHeight="1" x14ac:dyDescent="0.3">
      <c r="A86" s="6" t="s">
        <v>183</v>
      </c>
      <c r="B86" s="7" t="s">
        <v>184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</row>
    <row r="87" spans="1:23" ht="39.9" customHeight="1" x14ac:dyDescent="0.3">
      <c r="A87" s="6" t="s">
        <v>185</v>
      </c>
      <c r="B87" s="7" t="s">
        <v>186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</row>
    <row r="88" spans="1:23" ht="27" customHeight="1" x14ac:dyDescent="0.3">
      <c r="A88" s="6" t="s">
        <v>187</v>
      </c>
      <c r="B88" s="7" t="s">
        <v>188</v>
      </c>
      <c r="C88" s="10">
        <v>0</v>
      </c>
      <c r="D88" s="10">
        <v>0</v>
      </c>
      <c r="E88" s="10">
        <v>0</v>
      </c>
      <c r="F88" s="10">
        <v>4776298.05</v>
      </c>
      <c r="G88" s="10">
        <v>7254551.0700000003</v>
      </c>
      <c r="H88" s="10">
        <v>8194519.2999999998</v>
      </c>
      <c r="I88" s="10">
        <v>9500000</v>
      </c>
      <c r="J88" s="10">
        <v>9500000</v>
      </c>
      <c r="K88" s="11">
        <v>9000000</v>
      </c>
      <c r="L88" s="11">
        <v>6116710</v>
      </c>
      <c r="M88" s="11">
        <v>9500000</v>
      </c>
      <c r="N88" s="11">
        <v>9500000</v>
      </c>
      <c r="O88" s="11">
        <v>3500000</v>
      </c>
      <c r="P88" s="11">
        <v>3500000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</row>
    <row r="89" spans="1:23" ht="14.25" customHeight="1" x14ac:dyDescent="0.3">
      <c r="A89" s="6" t="s">
        <v>189</v>
      </c>
      <c r="B89" s="7" t="s">
        <v>190</v>
      </c>
      <c r="C89" s="10">
        <f>IF(ISNUMBER(VLOOKUP("10.7.1",A2:W105,3,FALSE)),ROUND(VLOOKUP("10.7.1",A2:W105,3,FALSE),4),0) + IF(ISNUMBER(VLOOKUP("10.7.2",A2:W105,3,FALSE)),ROUND(VLOOKUP("10.7.2",A2:W105,3,FALSE),4),0) + IF(ISNUMBER(VLOOKUP("10.7.3",A2:W105,3,FALSE)),ROUND(VLOOKUP("10.7.3",A2:W105,3,FALSE),4),0)</f>
        <v>0</v>
      </c>
      <c r="D89" s="10">
        <f>IF(ISNUMBER(VLOOKUP("10.7.1",A2:W105,4,FALSE)),ROUND(VLOOKUP("10.7.1",A2:W105,4,FALSE),4),0) + IF(ISNUMBER(VLOOKUP("10.7.2",A2:W105,4,FALSE)),ROUND(VLOOKUP("10.7.2",A2:W105,4,FALSE),4),0) + IF(ISNUMBER(VLOOKUP("10.7.3",A2:W105,4,FALSE)),ROUND(VLOOKUP("10.7.3",A2:W105,4,FALSE),4),0)</f>
        <v>0</v>
      </c>
      <c r="E89" s="10">
        <f>IF(ISNUMBER(VLOOKUP("10.7.1",A2:W105,5,FALSE)),ROUND(VLOOKUP("10.7.1",A2:W105,5,FALSE),4),0) + IF(ISNUMBER(VLOOKUP("10.7.2",A2:W105,5,FALSE)),ROUND(VLOOKUP("10.7.2",A2:W105,5,FALSE),4),0) + IF(ISNUMBER(VLOOKUP("10.7.3",A2:W105,5,FALSE)),ROUND(VLOOKUP("10.7.3",A2:W105,5,FALSE),4),0)</f>
        <v>0</v>
      </c>
      <c r="F89" s="10">
        <f>IF(ISNUMBER(VLOOKUP("10.7.1",A2:W105,6,FALSE)),ROUND(VLOOKUP("10.7.1",A2:W105,6,FALSE),4),0) + IF(ISNUMBER(VLOOKUP("10.7.2",A2:W105,6,FALSE)),ROUND(VLOOKUP("10.7.2",A2:W105,6,FALSE),4),0) + IF(ISNUMBER(VLOOKUP("10.7.3",A2:W105,6,FALSE)),ROUND(VLOOKUP("10.7.3",A2:W105,6,FALSE),4),0)</f>
        <v>0</v>
      </c>
      <c r="G89" s="10">
        <f>IF(ISNUMBER(VLOOKUP("10.7.1",A2:W105,7,FALSE)),ROUND(VLOOKUP("10.7.1",A2:W105,7,FALSE),4),0) + IF(ISNUMBER(VLOOKUP("10.7.2",A2:W105,7,FALSE)),ROUND(VLOOKUP("10.7.2",A2:W105,7,FALSE),4),0) + IF(ISNUMBER(VLOOKUP("10.7.3",A2:W105,7,FALSE)),ROUND(VLOOKUP("10.7.3",A2:W105,7,FALSE),4),0)</f>
        <v>0</v>
      </c>
      <c r="H89" s="10">
        <f>IF(ISNUMBER(VLOOKUP("10.7.1",A2:W105,8,FALSE)),ROUND(VLOOKUP("10.7.1",A2:W105,8,FALSE),4),0) + IF(ISNUMBER(VLOOKUP("10.7.2",A2:W105,8,FALSE)),ROUND(VLOOKUP("10.7.2",A2:W105,8,FALSE),4),0) + IF(ISNUMBER(VLOOKUP("10.7.3",A2:W105,8,FALSE)),ROUND(VLOOKUP("10.7.3",A2:W105,8,FALSE),4),0)</f>
        <v>0</v>
      </c>
      <c r="I89" s="10">
        <f>IF(ISNUMBER(VLOOKUP("10.7.1",A2:W105,9,FALSE)),ROUND(VLOOKUP("10.7.1",A2:W105,9,FALSE),4),0) + IF(ISNUMBER(VLOOKUP("10.7.2",A2:W105,9,FALSE)),ROUND(VLOOKUP("10.7.2",A2:W105,9,FALSE),4),0) + IF(ISNUMBER(VLOOKUP("10.7.3",A2:W105,9,FALSE)),ROUND(VLOOKUP("10.7.3",A2:W105,9,FALSE),4),0)</f>
        <v>0</v>
      </c>
      <c r="J89" s="10">
        <f>IF(ISNUMBER(VLOOKUP("10.7.1",A2:W105,10,FALSE)),ROUND(VLOOKUP("10.7.1",A2:W105,10,FALSE),4),0) + IF(ISNUMBER(VLOOKUP("10.7.2",A2:W105,10,FALSE)),ROUND(VLOOKUP("10.7.2",A2:W105,10,FALSE),4),0) + IF(ISNUMBER(VLOOKUP("10.7.3",A2:W105,10,FALSE)),ROUND(VLOOKUP("10.7.3",A2:W105,10,FALSE),4),0)</f>
        <v>0</v>
      </c>
      <c r="K89" s="11">
        <f>IF(ISNUMBER(VLOOKUP("10.7.1",A2:W105,11,FALSE)),ROUND(VLOOKUP("10.7.1",A2:W105,11,FALSE),4),0) + IF(ISNUMBER(VLOOKUP("10.7.2",A2:W105,11,FALSE)),ROUND(VLOOKUP("10.7.2",A2:W105,11,FALSE),4),0) + IF(ISNUMBER(VLOOKUP("10.7.3",A2:W105,11,FALSE)),ROUND(VLOOKUP("10.7.3",A2:W105,11,FALSE),4),0)</f>
        <v>0</v>
      </c>
      <c r="L89" s="11">
        <f>IF(ISNUMBER(VLOOKUP("10.7.1",A2:W105,12,FALSE)),ROUND(VLOOKUP("10.7.1",A2:W105,12,FALSE),4),0) + IF(ISNUMBER(VLOOKUP("10.7.2",A2:W105,12,FALSE)),ROUND(VLOOKUP("10.7.2",A2:W105,12,FALSE),4),0) + IF(ISNUMBER(VLOOKUP("10.7.3",A2:W105,12,FALSE)),ROUND(VLOOKUP("10.7.3",A2:W105,12,FALSE),4),0)</f>
        <v>0</v>
      </c>
      <c r="M89" s="11">
        <f>IF(ISNUMBER(VLOOKUP("10.7.1",A2:W105,13,FALSE)),ROUND(VLOOKUP("10.7.1",A2:W105,13,FALSE),4),0) + IF(ISNUMBER(VLOOKUP("10.7.2",A2:W105,13,FALSE)),ROUND(VLOOKUP("10.7.2",A2:W105,13,FALSE),4),0) + IF(ISNUMBER(VLOOKUP("10.7.3",A2:W105,13,FALSE)),ROUND(VLOOKUP("10.7.3",A2:W105,13,FALSE),4),0)</f>
        <v>0</v>
      </c>
      <c r="N89" s="11">
        <f>IF(ISNUMBER(VLOOKUP("10.7.1",A2:W105,14,FALSE)),ROUND(VLOOKUP("10.7.1",A2:W105,14,FALSE),4),0) + IF(ISNUMBER(VLOOKUP("10.7.2",A2:W105,14,FALSE)),ROUND(VLOOKUP("10.7.2",A2:W105,14,FALSE),4),0) + IF(ISNUMBER(VLOOKUP("10.7.3",A2:W105,14,FALSE)),ROUND(VLOOKUP("10.7.3",A2:W105,14,FALSE),4),0)</f>
        <v>0</v>
      </c>
      <c r="O89" s="11">
        <f>IF(ISNUMBER(VLOOKUP("10.7.1",A2:W105,15,FALSE)),ROUND(VLOOKUP("10.7.1",A2:W105,15,FALSE),4),0) + IF(ISNUMBER(VLOOKUP("10.7.2",A2:W105,15,FALSE)),ROUND(VLOOKUP("10.7.2",A2:W105,15,FALSE),4),0) + IF(ISNUMBER(VLOOKUP("10.7.3",A2:W105,15,FALSE)),ROUND(VLOOKUP("10.7.3",A2:W105,15,FALSE),4),0)</f>
        <v>0</v>
      </c>
      <c r="P89" s="11">
        <f>IF(ISNUMBER(VLOOKUP("10.7.1",A2:W105,16,FALSE)),ROUND(VLOOKUP("10.7.1",A2:W105,16,FALSE),4),0) + IF(ISNUMBER(VLOOKUP("10.7.2",A2:W105,16,FALSE)),ROUND(VLOOKUP("10.7.2",A2:W105,16,FALSE),4),0) + IF(ISNUMBER(VLOOKUP("10.7.3",A2:W105,16,FALSE)),ROUND(VLOOKUP("10.7.3",A2:W105,16,FALSE),4),0)</f>
        <v>0</v>
      </c>
      <c r="Q89" s="11">
        <f>IF(ISNUMBER(VLOOKUP("10.7.1",A2:W105,17,FALSE)),ROUND(VLOOKUP("10.7.1",A2:W105,17,FALSE),4),0) + IF(ISNUMBER(VLOOKUP("10.7.2",A2:W105,17,FALSE)),ROUND(VLOOKUP("10.7.2",A2:W105,17,FALSE),4),0) + IF(ISNUMBER(VLOOKUP("10.7.3",A2:W105,17,FALSE)),ROUND(VLOOKUP("10.7.3",A2:W105,17,FALSE),4),0)</f>
        <v>0</v>
      </c>
      <c r="R89" s="11">
        <f>IF(ISNUMBER(VLOOKUP("10.7.1",A2:W105,18,FALSE)),ROUND(VLOOKUP("10.7.1",A2:W105,18,FALSE),4),0) + IF(ISNUMBER(VLOOKUP("10.7.2",A2:W105,18,FALSE)),ROUND(VLOOKUP("10.7.2",A2:W105,18,FALSE),4),0) + IF(ISNUMBER(VLOOKUP("10.7.3",A2:W105,18,FALSE)),ROUND(VLOOKUP("10.7.3",A2:W105,18,FALSE),4),0)</f>
        <v>0</v>
      </c>
      <c r="S89" s="11">
        <f>IF(ISNUMBER(VLOOKUP("10.7.1",A2:W105,19,FALSE)),ROUND(VLOOKUP("10.7.1",A2:W105,19,FALSE),4),0) + IF(ISNUMBER(VLOOKUP("10.7.2",A2:W105,19,FALSE)),ROUND(VLOOKUP("10.7.2",A2:W105,19,FALSE),4),0) + IF(ISNUMBER(VLOOKUP("10.7.3",A2:W105,19,FALSE)),ROUND(VLOOKUP("10.7.3",A2:W105,19,FALSE),4),0)</f>
        <v>0</v>
      </c>
      <c r="T89" s="11">
        <f>IF(ISNUMBER(VLOOKUP("10.7.1",A2:W105,20,FALSE)),ROUND(VLOOKUP("10.7.1",A2:W105,20,FALSE),4),0) + IF(ISNUMBER(VLOOKUP("10.7.2",A2:W105,20,FALSE)),ROUND(VLOOKUP("10.7.2",A2:W105,20,FALSE),4),0) + IF(ISNUMBER(VLOOKUP("10.7.3",A2:W105,20,FALSE)),ROUND(VLOOKUP("10.7.3",A2:W105,20,FALSE),4),0)</f>
        <v>0</v>
      </c>
      <c r="U89" s="11">
        <f>IF(ISNUMBER(VLOOKUP("10.7.1",A2:W105,21,FALSE)),ROUND(VLOOKUP("10.7.1",A2:W105,21,FALSE),4),0) + IF(ISNUMBER(VLOOKUP("10.7.2",A2:W105,21,FALSE)),ROUND(VLOOKUP("10.7.2",A2:W105,21,FALSE),4),0) + IF(ISNUMBER(VLOOKUP("10.7.3",A2:W105,21,FALSE)),ROUND(VLOOKUP("10.7.3",A2:W105,21,FALSE),4),0)</f>
        <v>0</v>
      </c>
      <c r="V89" s="11">
        <f>IF(ISNUMBER(VLOOKUP("10.7.1",A2:W105,22,FALSE)),ROUND(VLOOKUP("10.7.1",A2:W105,22,FALSE),4),0) + IF(ISNUMBER(VLOOKUP("10.7.2",A2:W105,22,FALSE)),ROUND(VLOOKUP("10.7.2",A2:W105,22,FALSE),4),0) + IF(ISNUMBER(VLOOKUP("10.7.3",A2:W105,22,FALSE)),ROUND(VLOOKUP("10.7.3",A2:W105,22,FALSE),4),0)</f>
        <v>0</v>
      </c>
      <c r="W89" s="11">
        <f>IF(ISNUMBER(VLOOKUP("10.7.1",A2:W105,23,FALSE)),ROUND(VLOOKUP("10.7.1",A2:W105,23,FALSE),4),0) + IF(ISNUMBER(VLOOKUP("10.7.2",A2:W105,23,FALSE)),ROUND(VLOOKUP("10.7.2",A2:W105,23,FALSE),4),0) + IF(ISNUMBER(VLOOKUP("10.7.3",A2:W105,23,FALSE)),ROUND(VLOOKUP("10.7.3",A2:W105,23,FALSE),4),0)</f>
        <v>0</v>
      </c>
    </row>
    <row r="90" spans="1:23" ht="27" customHeight="1" x14ac:dyDescent="0.3">
      <c r="A90" s="6" t="s">
        <v>191</v>
      </c>
      <c r="B90" s="7" t="s">
        <v>192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</row>
    <row r="91" spans="1:23" ht="27" customHeight="1" x14ac:dyDescent="0.3">
      <c r="A91" s="6" t="s">
        <v>193</v>
      </c>
      <c r="B91" s="7" t="s">
        <v>194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</row>
    <row r="92" spans="1:23" ht="14.25" customHeight="1" x14ac:dyDescent="0.3">
      <c r="A92" s="6" t="s">
        <v>195</v>
      </c>
      <c r="B92" s="7" t="s">
        <v>196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</row>
    <row r="93" spans="1:23" ht="14.25" customHeight="1" x14ac:dyDescent="0.3">
      <c r="A93" s="6" t="s">
        <v>197</v>
      </c>
      <c r="B93" s="7" t="s">
        <v>198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</row>
    <row r="94" spans="1:23" ht="14.25" customHeight="1" x14ac:dyDescent="0.3">
      <c r="A94" s="6" t="s">
        <v>199</v>
      </c>
      <c r="B94" s="7" t="s">
        <v>200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</row>
    <row r="95" spans="1:23" ht="27" customHeight="1" x14ac:dyDescent="0.3">
      <c r="A95" s="6" t="s">
        <v>201</v>
      </c>
      <c r="B95" s="7" t="s">
        <v>202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-95399.8</v>
      </c>
      <c r="I95" s="10">
        <v>0</v>
      </c>
      <c r="J95" s="10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</row>
    <row r="96" spans="1:23" ht="27" customHeight="1" x14ac:dyDescent="0.3">
      <c r="A96" s="6" t="s">
        <v>203</v>
      </c>
      <c r="B96" s="7" t="s">
        <v>204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</row>
    <row r="97" spans="1:23" ht="78.599999999999994" customHeight="1" x14ac:dyDescent="0.3">
      <c r="A97" s="6" t="s">
        <v>205</v>
      </c>
      <c r="B97" s="7" t="s">
        <v>206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</row>
    <row r="98" spans="1:23" ht="27" customHeight="1" x14ac:dyDescent="0.3">
      <c r="A98" s="6" t="s">
        <v>207</v>
      </c>
      <c r="B98" s="7" t="s">
        <v>208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517459.64</v>
      </c>
      <c r="I98" s="8">
        <v>0</v>
      </c>
      <c r="J98" s="8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</row>
    <row r="99" spans="1:23" ht="14.25" customHeight="1" x14ac:dyDescent="0.3">
      <c r="A99" s="2" t="s">
        <v>209</v>
      </c>
      <c r="B99" s="3" t="s">
        <v>210</v>
      </c>
      <c r="C99" s="24" t="s">
        <v>126</v>
      </c>
      <c r="D99" s="24" t="s">
        <v>126</v>
      </c>
      <c r="E99" s="24" t="s">
        <v>126</v>
      </c>
      <c r="F99" s="24" t="s">
        <v>126</v>
      </c>
      <c r="G99" s="24" t="s">
        <v>126</v>
      </c>
      <c r="H99" s="24" t="s">
        <v>126</v>
      </c>
      <c r="I99" s="24" t="s">
        <v>126</v>
      </c>
      <c r="J99" s="24" t="s">
        <v>126</v>
      </c>
      <c r="K99" s="25" t="s">
        <v>126</v>
      </c>
      <c r="L99" s="25" t="s">
        <v>126</v>
      </c>
      <c r="M99" s="25" t="s">
        <v>126</v>
      </c>
      <c r="N99" s="25" t="s">
        <v>126</v>
      </c>
      <c r="O99" s="25" t="s">
        <v>126</v>
      </c>
      <c r="P99" s="25" t="s">
        <v>126</v>
      </c>
      <c r="Q99" s="25" t="s">
        <v>126</v>
      </c>
      <c r="R99" s="25" t="s">
        <v>126</v>
      </c>
      <c r="S99" s="25" t="s">
        <v>126</v>
      </c>
      <c r="T99" s="25" t="s">
        <v>126</v>
      </c>
      <c r="U99" s="25" t="s">
        <v>126</v>
      </c>
      <c r="V99" s="25" t="s">
        <v>126</v>
      </c>
      <c r="W99" s="25" t="s">
        <v>126</v>
      </c>
    </row>
    <row r="100" spans="1:23" ht="27" customHeight="1" x14ac:dyDescent="0.3">
      <c r="A100" s="6" t="s">
        <v>211</v>
      </c>
      <c r="B100" s="7" t="s">
        <v>212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</row>
    <row r="101" spans="1:23" ht="14.25" customHeight="1" x14ac:dyDescent="0.3">
      <c r="A101" s="6" t="s">
        <v>213</v>
      </c>
      <c r="B101" s="7" t="s">
        <v>214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</row>
    <row r="102" spans="1:23" ht="39.9" customHeight="1" x14ac:dyDescent="0.3">
      <c r="A102" s="6" t="s">
        <v>215</v>
      </c>
      <c r="B102" s="7" t="s">
        <v>216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</row>
    <row r="103" spans="1:23" hidden="1" x14ac:dyDescent="0.3">
      <c r="A103" s="20" t="s">
        <v>217</v>
      </c>
      <c r="B103" s="21" t="s">
        <v>218</v>
      </c>
      <c r="C103" s="22">
        <f>IF(ISNUMBER(VLOOKUP("3",A2:W105,3,FALSE)),ROUND(VLOOKUP("3",A2:W105,3,FALSE),4),0) + IF(ISNUMBER(VLOOKUP("4",A2:W105,3,FALSE)),ROUND(VLOOKUP("4",A2:W105,3,FALSE),4),0) - IF(ISNUMBER(VLOOKUP("5",A2:W105,3,FALSE)),ROUND(VLOOKUP("5",A2:W105,3,FALSE),4),0)</f>
        <v>1699368.31</v>
      </c>
      <c r="D103" s="22">
        <f>IF(ISNUMBER(VLOOKUP("3",A2:W105,4,FALSE)),ROUND(VLOOKUP("3",A2:W105,4,FALSE),4),0) + IF(ISNUMBER(VLOOKUP("4",A2:W105,4,FALSE)),ROUND(VLOOKUP("4",A2:W105,4,FALSE),4),0) - IF(ISNUMBER(VLOOKUP("5",A2:W105,4,FALSE)),ROUND(VLOOKUP("5",A2:W105,4,FALSE),4),0)</f>
        <v>9979517.7599999998</v>
      </c>
      <c r="E103" s="22">
        <f>IF(ISNUMBER(VLOOKUP("3",A2:W105,5,FALSE)),ROUND(VLOOKUP("3",A2:W105,5,FALSE),4),0) + IF(ISNUMBER(VLOOKUP("4",A2:W105,5,FALSE)),ROUND(VLOOKUP("4",A2:W105,5,FALSE),4),0) - IF(ISNUMBER(VLOOKUP("5",A2:W105,5,FALSE)),ROUND(VLOOKUP("5",A2:W105,5,FALSE),4),0)</f>
        <v>-10677105.050000001</v>
      </c>
      <c r="F103" s="22">
        <f>IF(ISNUMBER(VLOOKUP("3",A2:W105,6,FALSE)),ROUND(VLOOKUP("3",A2:W105,6,FALSE),4),0) + IF(ISNUMBER(VLOOKUP("4",A2:W105,6,FALSE)),ROUND(VLOOKUP("4",A2:W105,6,FALSE),4),0) - IF(ISNUMBER(VLOOKUP("5",A2:W105,6,FALSE)),ROUND(VLOOKUP("5",A2:W105,6,FALSE),4),0)</f>
        <v>10953020.989999998</v>
      </c>
      <c r="G103" s="22">
        <f>IF(ISNUMBER(VLOOKUP("3",A2:W105,7,FALSE)),ROUND(VLOOKUP("3",A2:W105,7,FALSE),4),0) + IF(ISNUMBER(VLOOKUP("4",A2:W105,7,FALSE)),ROUND(VLOOKUP("4",A2:W105,7,FALSE),4),0) - IF(ISNUMBER(VLOOKUP("5",A2:W105,7,FALSE)),ROUND(VLOOKUP("5",A2:W105,7,FALSE),4),0)</f>
        <v>13668381.139999997</v>
      </c>
      <c r="H103" s="22">
        <f>IF(ISNUMBER(VLOOKUP("3",A2:W105,8,FALSE)),ROUND(VLOOKUP("3",A2:W105,8,FALSE),4),0) + IF(ISNUMBER(VLOOKUP("4",A2:W105,8,FALSE)),ROUND(VLOOKUP("4",A2:W105,8,FALSE),4),0) - IF(ISNUMBER(VLOOKUP("5",A2:W105,8,FALSE)),ROUND(VLOOKUP("5",A2:W105,8,FALSE),4),0)</f>
        <v>9045520.7399999984</v>
      </c>
      <c r="I103" s="22">
        <f>IF(ISNUMBER(VLOOKUP("3",A2:W105,9,FALSE)),ROUND(VLOOKUP("3",A2:W105,9,FALSE),4),0) + IF(ISNUMBER(VLOOKUP("4",A2:W105,9,FALSE)),ROUND(VLOOKUP("4",A2:W105,9,FALSE),4),0) - IF(ISNUMBER(VLOOKUP("5",A2:W105,9,FALSE)),ROUND(VLOOKUP("5",A2:W105,9,FALSE),4),0)</f>
        <v>0</v>
      </c>
      <c r="J103" s="22">
        <f>IF(ISNUMBER(VLOOKUP("3",A2:W105,10,FALSE)),ROUND(VLOOKUP("3",A2:W105,10,FALSE),4),0) + IF(ISNUMBER(VLOOKUP("4",A2:W105,10,FALSE)),ROUND(VLOOKUP("4",A2:W105,10,FALSE),4),0) - IF(ISNUMBER(VLOOKUP("5",A2:W105,10,FALSE)),ROUND(VLOOKUP("5",A2:W105,10,FALSE),4),0)</f>
        <v>0</v>
      </c>
      <c r="K103" s="23">
        <f>IF(ISNUMBER(VLOOKUP("3",A2:W105,11,FALSE)),ROUND(VLOOKUP("3",A2:W105,11,FALSE),4),0) + IF(ISNUMBER(VLOOKUP("4",A2:W105,11,FALSE)),ROUND(VLOOKUP("4",A2:W105,11,FALSE),4),0) - IF(ISNUMBER(VLOOKUP("5",A2:W105,11,FALSE)),ROUND(VLOOKUP("5",A2:W105,11,FALSE),4),0)</f>
        <v>0</v>
      </c>
      <c r="L103" s="23">
        <f>IF(ISNUMBER(VLOOKUP("3",A2:W105,12,FALSE)),ROUND(VLOOKUP("3",A2:W105,12,FALSE),4),0) + IF(ISNUMBER(VLOOKUP("4",A2:W105,12,FALSE)),ROUND(VLOOKUP("4",A2:W105,12,FALSE),4),0) - IF(ISNUMBER(VLOOKUP("5",A2:W105,12,FALSE)),ROUND(VLOOKUP("5",A2:W105,12,FALSE),4),0)</f>
        <v>0</v>
      </c>
      <c r="M103" s="23">
        <f>IF(ISNUMBER(VLOOKUP("3",A2:W105,13,FALSE)),ROUND(VLOOKUP("3",A2:W105,13,FALSE),4),0) + IF(ISNUMBER(VLOOKUP("4",A2:W105,13,FALSE)),ROUND(VLOOKUP("4",A2:W105,13,FALSE),4),0) - IF(ISNUMBER(VLOOKUP("5",A2:W105,13,FALSE)),ROUND(VLOOKUP("5",A2:W105,13,FALSE),4),0)</f>
        <v>0</v>
      </c>
      <c r="N103" s="23">
        <f>IF(ISNUMBER(VLOOKUP("3",A2:W105,14,FALSE)),ROUND(VLOOKUP("3",A2:W105,14,FALSE),4),0) + IF(ISNUMBER(VLOOKUP("4",A2:W105,14,FALSE)),ROUND(VLOOKUP("4",A2:W105,14,FALSE),4),0) - IF(ISNUMBER(VLOOKUP("5",A2:W105,14,FALSE)),ROUND(VLOOKUP("5",A2:W105,14,FALSE),4),0)</f>
        <v>0</v>
      </c>
      <c r="O103" s="23">
        <f>IF(ISNUMBER(VLOOKUP("3",A2:W105,15,FALSE)),ROUND(VLOOKUP("3",A2:W105,15,FALSE),4),0) + IF(ISNUMBER(VLOOKUP("4",A2:W105,15,FALSE)),ROUND(VLOOKUP("4",A2:W105,15,FALSE),4),0) - IF(ISNUMBER(VLOOKUP("5",A2:W105,15,FALSE)),ROUND(VLOOKUP("5",A2:W105,15,FALSE),4),0)</f>
        <v>0</v>
      </c>
      <c r="P103" s="23">
        <f>IF(ISNUMBER(VLOOKUP("3",A2:W105,16,FALSE)),ROUND(VLOOKUP("3",A2:W105,16,FALSE),4),0) + IF(ISNUMBER(VLOOKUP("4",A2:W105,16,FALSE)),ROUND(VLOOKUP("4",A2:W105,16,FALSE),4),0) - IF(ISNUMBER(VLOOKUP("5",A2:W105,16,FALSE)),ROUND(VLOOKUP("5",A2:W105,16,FALSE),4),0)</f>
        <v>0</v>
      </c>
      <c r="Q103" s="23">
        <f>IF(ISNUMBER(VLOOKUP("3",A2:W105,17,FALSE)),ROUND(VLOOKUP("3",A2:W105,17,FALSE),4),0) + IF(ISNUMBER(VLOOKUP("4",A2:W105,17,FALSE)),ROUND(VLOOKUP("4",A2:W105,17,FALSE),4),0) - IF(ISNUMBER(VLOOKUP("5",A2:W105,17,FALSE)),ROUND(VLOOKUP("5",A2:W105,17,FALSE),4),0)</f>
        <v>0</v>
      </c>
      <c r="R103" s="23">
        <f>IF(ISNUMBER(VLOOKUP("3",A2:W105,18,FALSE)),ROUND(VLOOKUP("3",A2:W105,18,FALSE),4),0) + IF(ISNUMBER(VLOOKUP("4",A2:W105,18,FALSE)),ROUND(VLOOKUP("4",A2:W105,18,FALSE),4),0) - IF(ISNUMBER(VLOOKUP("5",A2:W105,18,FALSE)),ROUND(VLOOKUP("5",A2:W105,18,FALSE),4),0)</f>
        <v>0</v>
      </c>
      <c r="S103" s="23">
        <f>IF(ISNUMBER(VLOOKUP("3",A2:W105,19,FALSE)),ROUND(VLOOKUP("3",A2:W105,19,FALSE),4),0) + IF(ISNUMBER(VLOOKUP("4",A2:W105,19,FALSE)),ROUND(VLOOKUP("4",A2:W105,19,FALSE),4),0) - IF(ISNUMBER(VLOOKUP("5",A2:W105,19,FALSE)),ROUND(VLOOKUP("5",A2:W105,19,FALSE),4),0)</f>
        <v>0</v>
      </c>
      <c r="T103" s="23">
        <f>IF(ISNUMBER(VLOOKUP("3",A2:W105,20,FALSE)),ROUND(VLOOKUP("3",A2:W105,20,FALSE),4),0) + IF(ISNUMBER(VLOOKUP("4",A2:W105,20,FALSE)),ROUND(VLOOKUP("4",A2:W105,20,FALSE),4),0) - IF(ISNUMBER(VLOOKUP("5",A2:W105,20,FALSE)),ROUND(VLOOKUP("5",A2:W105,20,FALSE),4),0)</f>
        <v>0</v>
      </c>
      <c r="U103" s="23">
        <f>IF(ISNUMBER(VLOOKUP("3",A2:W105,21,FALSE)),ROUND(VLOOKUP("3",A2:W105,21,FALSE),4),0) + IF(ISNUMBER(VLOOKUP("4",A2:W105,21,FALSE)),ROUND(VLOOKUP("4",A2:W105,21,FALSE),4),0) - IF(ISNUMBER(VLOOKUP("5",A2:W105,21,FALSE)),ROUND(VLOOKUP("5",A2:W105,21,FALSE),4),0)</f>
        <v>0</v>
      </c>
      <c r="V103" s="23">
        <f>IF(ISNUMBER(VLOOKUP("3",A2:W105,22,FALSE)),ROUND(VLOOKUP("3",A2:W105,22,FALSE),4),0) + IF(ISNUMBER(VLOOKUP("4",A2:W105,22,FALSE)),ROUND(VLOOKUP("4",A2:W105,22,FALSE),4),0) - IF(ISNUMBER(VLOOKUP("5",A2:W105,22,FALSE)),ROUND(VLOOKUP("5",A2:W105,22,FALSE),4),0)</f>
        <v>0</v>
      </c>
      <c r="W103" s="23">
        <f>IF(ISNUMBER(VLOOKUP("3",A2:W105,23,FALSE)),ROUND(VLOOKUP("3",A2:W105,23,FALSE),4),0) + IF(ISNUMBER(VLOOKUP("4",A2:W105,23,FALSE)),ROUND(VLOOKUP("4",A2:W105,23,FALSE),4),0) - IF(ISNUMBER(VLOOKUP("5",A2:W105,23,FALSE)),ROUND(VLOOKUP("5",A2:W105,23,FALSE),4),0)</f>
        <v>0</v>
      </c>
    </row>
    <row r="104" spans="1:23" hidden="1" x14ac:dyDescent="0.3">
      <c r="A104" s="6" t="s">
        <v>219</v>
      </c>
      <c r="B104" s="7" t="s">
        <v>220</v>
      </c>
      <c r="C104" s="10">
        <f>IF(ISNUMBER(VLOOKUP("1",A2:W105,3,FALSE)),ROUND(VLOOKUP("1",A2:W105,3,FALSE),4),0) - (IF(ISNUMBER(VLOOKUP("2.1",A2:W105,3,FALSE)),ROUND(VLOOKUP("2.1",A2:W105,3,FALSE),4),0) + IF(ISNUMBER(VLOOKUP("10.1.2",A2:W105,3,FALSE)),ROUND(VLOOKUP("10.1.2",A2:W105,3,FALSE),4),0)) + IF(ISNUMBER(VLOOKUP("4",A2:W105,3,FALSE)),ROUND(VLOOKUP("4",A2:W105,3,FALSE),4),0) - IF(ISNUMBER(VLOOKUP("5",A2:W105,3,FALSE)),ROUND(VLOOKUP("5",A2:W105,3,FALSE),4),0)</f>
        <v>16581919.099999994</v>
      </c>
      <c r="D104" s="10">
        <f>IF(ISNUMBER(VLOOKUP("1",A2:W105,4,FALSE)),ROUND(VLOOKUP("1",A2:W105,4,FALSE),4),0) - (IF(ISNUMBER(VLOOKUP("2.1",A2:W105,4,FALSE)),ROUND(VLOOKUP("2.1",A2:W105,4,FALSE),4),0) + IF(ISNUMBER(VLOOKUP("10.1.2",A2:W105,4,FALSE)),ROUND(VLOOKUP("10.1.2",A2:W105,4,FALSE),4),0)) + IF(ISNUMBER(VLOOKUP("4",A2:W105,4,FALSE)),ROUND(VLOOKUP("4",A2:W105,4,FALSE),4),0) - IF(ISNUMBER(VLOOKUP("5",A2:W105,4,FALSE)),ROUND(VLOOKUP("5",A2:W105,4,FALSE),4),0)</f>
        <v>21330116.88000001</v>
      </c>
      <c r="E104" s="10">
        <f>IF(ISNUMBER(VLOOKUP("1",A2:W105,5,FALSE)),ROUND(VLOOKUP("1",A2:W105,5,FALSE),4),0) - (IF(ISNUMBER(VLOOKUP("2.1",A2:W105,5,FALSE)),ROUND(VLOOKUP("2.1",A2:W105,5,FALSE),4),0) + IF(ISNUMBER(VLOOKUP("10.1.2",A2:W105,5,FALSE)),ROUND(VLOOKUP("10.1.2",A2:W105,5,FALSE),4),0)) + IF(ISNUMBER(VLOOKUP("4",A2:W105,5,FALSE)),ROUND(VLOOKUP("4",A2:W105,5,FALSE),4),0) - IF(ISNUMBER(VLOOKUP("5",A2:W105,5,FALSE)),ROUND(VLOOKUP("5",A2:W105,5,FALSE),4),0)</f>
        <v>16245296.710000008</v>
      </c>
      <c r="F104" s="10">
        <f>IF(ISNUMBER(VLOOKUP("1",A2:W105,6,FALSE)),ROUND(VLOOKUP("1",A2:W105,6,FALSE),4),0) - (IF(ISNUMBER(VLOOKUP("2.1",A2:W105,6,FALSE)),ROUND(VLOOKUP("2.1",A2:W105,6,FALSE),4),0) + IF(ISNUMBER(VLOOKUP("10.1.2",A2:W105,6,FALSE)),ROUND(VLOOKUP("10.1.2",A2:W105,6,FALSE),4),0)) + IF(ISNUMBER(VLOOKUP("4",A2:W105,6,FALSE)),ROUND(VLOOKUP("4",A2:W105,6,FALSE),4),0) - IF(ISNUMBER(VLOOKUP("5",A2:W105,6,FALSE)),ROUND(VLOOKUP("5",A2:W105,6,FALSE),4),0)</f>
        <v>7138673.5899999896</v>
      </c>
      <c r="G104" s="10">
        <f>IF(ISNUMBER(VLOOKUP("1",A2:W105,7,FALSE)),ROUND(VLOOKUP("1",A2:W105,7,FALSE),4),0) - (IF(ISNUMBER(VLOOKUP("2.1",A2:W105,7,FALSE)),ROUND(VLOOKUP("2.1",A2:W105,7,FALSE),4),0) + IF(ISNUMBER(VLOOKUP("10.1.2",A2:W105,7,FALSE)),ROUND(VLOOKUP("10.1.2",A2:W105,7,FALSE),4),0)) + IF(ISNUMBER(VLOOKUP("4",A2:W105,7,FALSE)),ROUND(VLOOKUP("4",A2:W105,7,FALSE),4),0) - IF(ISNUMBER(VLOOKUP("5",A2:W105,7,FALSE)),ROUND(VLOOKUP("5",A2:W105,7,FALSE),4),0)</f>
        <v>11409251.179999989</v>
      </c>
      <c r="H104" s="10">
        <f>IF(ISNUMBER(VLOOKUP("1",A2:W105,8,FALSE)),ROUND(VLOOKUP("1",A2:W105,8,FALSE),4),0) - (IF(ISNUMBER(VLOOKUP("2.1",A2:W105,8,FALSE)),ROUND(VLOOKUP("2.1",A2:W105,8,FALSE),4),0) + IF(ISNUMBER(VLOOKUP("10.1.2",A2:W105,8,FALSE)),ROUND(VLOOKUP("10.1.2",A2:W105,8,FALSE),4),0)) + IF(ISNUMBER(VLOOKUP("4",A2:W105,8,FALSE)),ROUND(VLOOKUP("4",A2:W105,8,FALSE),4),0) - IF(ISNUMBER(VLOOKUP("5",A2:W105,8,FALSE)),ROUND(VLOOKUP("5",A2:W105,8,FALSE),4),0)</f>
        <v>2199308.3799999924</v>
      </c>
      <c r="I104" s="10">
        <f>IF(ISNUMBER(VLOOKUP("1",A2:W105,9,FALSE)),ROUND(VLOOKUP("1",A2:W105,9,FALSE),4),0) - (IF(ISNUMBER(VLOOKUP("2.1",A2:W105,9,FALSE)),ROUND(VLOOKUP("2.1",A2:W105,9,FALSE),4),0) + IF(ISNUMBER(VLOOKUP("10.1.2",A2:W105,9,FALSE)),ROUND(VLOOKUP("10.1.2",A2:W105,9,FALSE),4),0)) + IF(ISNUMBER(VLOOKUP("4",A2:W105,9,FALSE)),ROUND(VLOOKUP("4",A2:W105,9,FALSE),4),0) - IF(ISNUMBER(VLOOKUP("5",A2:W105,9,FALSE)),ROUND(VLOOKUP("5",A2:W105,9,FALSE),4),0)</f>
        <v>21095358.809999995</v>
      </c>
      <c r="J104" s="10">
        <f>IF(ISNUMBER(VLOOKUP("1",A2:W105,10,FALSE)),ROUND(VLOOKUP("1",A2:W105,10,FALSE),4),0) - (IF(ISNUMBER(VLOOKUP("2.1",A2:W105,10,FALSE)),ROUND(VLOOKUP("2.1",A2:W105,10,FALSE),4),0) + IF(ISNUMBER(VLOOKUP("10.1.2",A2:W105,10,FALSE)),ROUND(VLOOKUP("10.1.2",A2:W105,10,FALSE),4),0)) + IF(ISNUMBER(VLOOKUP("4",A2:W105,10,FALSE)),ROUND(VLOOKUP("4",A2:W105,10,FALSE),4),0) - IF(ISNUMBER(VLOOKUP("5",A2:W105,10,FALSE)),ROUND(VLOOKUP("5",A2:W105,10,FALSE),4),0)</f>
        <v>10178124.919999983</v>
      </c>
      <c r="K104" s="11">
        <f>IF(ISNUMBER(VLOOKUP("1",A2:W105,11,FALSE)),ROUND(VLOOKUP("1",A2:W105,11,FALSE),4),0) - (IF(ISNUMBER(VLOOKUP("2.1",A2:W105,11,FALSE)),ROUND(VLOOKUP("2.1",A2:W105,11,FALSE),4),0) + IF(ISNUMBER(VLOOKUP("10.1.2",A2:W105,11,FALSE)),ROUND(VLOOKUP("10.1.2",A2:W105,11,FALSE),4),0)) + IF(ISNUMBER(VLOOKUP("4",A2:W105,11,FALSE)),ROUND(VLOOKUP("4",A2:W105,11,FALSE),4),0) - IF(ISNUMBER(VLOOKUP("5",A2:W105,11,FALSE)),ROUND(VLOOKUP("5",A2:W105,11,FALSE),4),0)</f>
        <v>30241301.930000007</v>
      </c>
      <c r="L104" s="11">
        <f>IF(ISNUMBER(VLOOKUP("1",A2:W105,12,FALSE)),ROUND(VLOOKUP("1",A2:W105,12,FALSE),4),0) - (IF(ISNUMBER(VLOOKUP("2.1",A2:W105,12,FALSE)),ROUND(VLOOKUP("2.1",A2:W105,12,FALSE),4),0) + IF(ISNUMBER(VLOOKUP("10.1.2",A2:W105,12,FALSE)),ROUND(VLOOKUP("10.1.2",A2:W105,12,FALSE),4),0)) + IF(ISNUMBER(VLOOKUP("4",A2:W105,12,FALSE)),ROUND(VLOOKUP("4",A2:W105,12,FALSE),4),0) - IF(ISNUMBER(VLOOKUP("5",A2:W105,12,FALSE)),ROUND(VLOOKUP("5",A2:W105,12,FALSE),4),0)</f>
        <v>489693.3900000155</v>
      </c>
      <c r="M104" s="11">
        <f>IF(ISNUMBER(VLOOKUP("1",A2:W105,13,FALSE)),ROUND(VLOOKUP("1",A2:W105,13,FALSE),4),0) - (IF(ISNUMBER(VLOOKUP("2.1",A2:W105,13,FALSE)),ROUND(VLOOKUP("2.1",A2:W105,13,FALSE),4),0) + IF(ISNUMBER(VLOOKUP("10.1.2",A2:W105,13,FALSE)),ROUND(VLOOKUP("10.1.2",A2:W105,13,FALSE),4),0)) + IF(ISNUMBER(VLOOKUP("4",A2:W105,13,FALSE)),ROUND(VLOOKUP("4",A2:W105,13,FALSE),4),0) - IF(ISNUMBER(VLOOKUP("5",A2:W105,13,FALSE)),ROUND(VLOOKUP("5",A2:W105,13,FALSE),4),0)</f>
        <v>634309.09000000358</v>
      </c>
      <c r="N104" s="11">
        <f>IF(ISNUMBER(VLOOKUP("1",A2:W105,14,FALSE)),ROUND(VLOOKUP("1",A2:W105,14,FALSE),4),0) - (IF(ISNUMBER(VLOOKUP("2.1",A2:W105,14,FALSE)),ROUND(VLOOKUP("2.1",A2:W105,14,FALSE),4),0) + IF(ISNUMBER(VLOOKUP("10.1.2",A2:W105,14,FALSE)),ROUND(VLOOKUP("10.1.2",A2:W105,14,FALSE),4),0)) + IF(ISNUMBER(VLOOKUP("4",A2:W105,14,FALSE)),ROUND(VLOOKUP("4",A2:W105,14,FALSE),4),0) - IF(ISNUMBER(VLOOKUP("5",A2:W105,14,FALSE)),ROUND(VLOOKUP("5",A2:W105,14,FALSE),4),0)</f>
        <v>1275353.0900000036</v>
      </c>
      <c r="O104" s="11">
        <f>IF(ISNUMBER(VLOOKUP("1",A2:W105,15,FALSE)),ROUND(VLOOKUP("1",A2:W105,15,FALSE),4),0) - (IF(ISNUMBER(VLOOKUP("2.1",A2:W105,15,FALSE)),ROUND(VLOOKUP("2.1",A2:W105,15,FALSE),4),0) + IF(ISNUMBER(VLOOKUP("10.1.2",A2:W105,15,FALSE)),ROUND(VLOOKUP("10.1.2",A2:W105,15,FALSE),4),0)) + IF(ISNUMBER(VLOOKUP("4",A2:W105,15,FALSE)),ROUND(VLOOKUP("4",A2:W105,15,FALSE),4),0) - IF(ISNUMBER(VLOOKUP("5",A2:W105,15,FALSE)),ROUND(VLOOKUP("5",A2:W105,15,FALSE),4),0)</f>
        <v>4964428.0900000036</v>
      </c>
      <c r="P104" s="11">
        <f>IF(ISNUMBER(VLOOKUP("1",A2:W105,16,FALSE)),ROUND(VLOOKUP("1",A2:W105,16,FALSE),4),0) - (IF(ISNUMBER(VLOOKUP("2.1",A2:W105,16,FALSE)),ROUND(VLOOKUP("2.1",A2:W105,16,FALSE),4),0) + IF(ISNUMBER(VLOOKUP("10.1.2",A2:W105,16,FALSE)),ROUND(VLOOKUP("10.1.2",A2:W105,16,FALSE),4),0)) + IF(ISNUMBER(VLOOKUP("4",A2:W105,16,FALSE)),ROUND(VLOOKUP("4",A2:W105,16,FALSE),4),0) - IF(ISNUMBER(VLOOKUP("5",A2:W105,16,FALSE)),ROUND(VLOOKUP("5",A2:W105,16,FALSE),4),0)</f>
        <v>6564275</v>
      </c>
      <c r="Q104" s="11">
        <f>IF(ISNUMBER(VLOOKUP("1",A2:W105,17,FALSE)),ROUND(VLOOKUP("1",A2:W105,17,FALSE),4),0) - (IF(ISNUMBER(VLOOKUP("2.1",A2:W105,17,FALSE)),ROUND(VLOOKUP("2.1",A2:W105,17,FALSE),4),0) + IF(ISNUMBER(VLOOKUP("10.1.2",A2:W105,17,FALSE)),ROUND(VLOOKUP("10.1.2",A2:W105,17,FALSE),4),0)) + IF(ISNUMBER(VLOOKUP("4",A2:W105,17,FALSE)),ROUND(VLOOKUP("4",A2:W105,17,FALSE),4),0) - IF(ISNUMBER(VLOOKUP("5",A2:W105,17,FALSE)),ROUND(VLOOKUP("5",A2:W105,17,FALSE),4),0)</f>
        <v>12490939</v>
      </c>
      <c r="R104" s="11">
        <f>IF(ISNUMBER(VLOOKUP("1",A2:W105,18,FALSE)),ROUND(VLOOKUP("1",A2:W105,18,FALSE),4),0) - (IF(ISNUMBER(VLOOKUP("2.1",A2:W105,18,FALSE)),ROUND(VLOOKUP("2.1",A2:W105,18,FALSE),4),0) + IF(ISNUMBER(VLOOKUP("10.1.2",A2:W105,18,FALSE)),ROUND(VLOOKUP("10.1.2",A2:W105,18,FALSE),4),0)) + IF(ISNUMBER(VLOOKUP("4",A2:W105,18,FALSE)),ROUND(VLOOKUP("4",A2:W105,18,FALSE),4),0) - IF(ISNUMBER(VLOOKUP("5",A2:W105,18,FALSE)),ROUND(VLOOKUP("5",A2:W105,18,FALSE),4),0)</f>
        <v>14559205</v>
      </c>
      <c r="S104" s="11">
        <f>IF(ISNUMBER(VLOOKUP("1",A2:W105,19,FALSE)),ROUND(VLOOKUP("1",A2:W105,19,FALSE),4),0) - (IF(ISNUMBER(VLOOKUP("2.1",A2:W105,19,FALSE)),ROUND(VLOOKUP("2.1",A2:W105,19,FALSE),4),0) + IF(ISNUMBER(VLOOKUP("10.1.2",A2:W105,19,FALSE)),ROUND(VLOOKUP("10.1.2",A2:W105,19,FALSE),4),0)) + IF(ISNUMBER(VLOOKUP("4",A2:W105,19,FALSE)),ROUND(VLOOKUP("4",A2:W105,19,FALSE),4),0) - IF(ISNUMBER(VLOOKUP("5",A2:W105,19,FALSE)),ROUND(VLOOKUP("5",A2:W105,19,FALSE),4),0)</f>
        <v>16364645</v>
      </c>
      <c r="T104" s="11">
        <f>IF(ISNUMBER(VLOOKUP("1",A2:W105,20,FALSE)),ROUND(VLOOKUP("1",A2:W105,20,FALSE),4),0) - (IF(ISNUMBER(VLOOKUP("2.1",A2:W105,20,FALSE)),ROUND(VLOOKUP("2.1",A2:W105,20,FALSE),4),0) + IF(ISNUMBER(VLOOKUP("10.1.2",A2:W105,20,FALSE)),ROUND(VLOOKUP("10.1.2",A2:W105,20,FALSE),4),0)) + IF(ISNUMBER(VLOOKUP("4",A2:W105,20,FALSE)),ROUND(VLOOKUP("4",A2:W105,20,FALSE),4),0) - IF(ISNUMBER(VLOOKUP("5",A2:W105,20,FALSE)),ROUND(VLOOKUP("5",A2:W105,20,FALSE),4),0)</f>
        <v>18058502</v>
      </c>
      <c r="U104" s="11">
        <f>IF(ISNUMBER(VLOOKUP("1",A2:W105,21,FALSE)),ROUND(VLOOKUP("1",A2:W105,21,FALSE),4),0) - (IF(ISNUMBER(VLOOKUP("2.1",A2:W105,21,FALSE)),ROUND(VLOOKUP("2.1",A2:W105,21,FALSE),4),0) + IF(ISNUMBER(VLOOKUP("10.1.2",A2:W105,21,FALSE)),ROUND(VLOOKUP("10.1.2",A2:W105,21,FALSE),4),0)) + IF(ISNUMBER(VLOOKUP("4",A2:W105,21,FALSE)),ROUND(VLOOKUP("4",A2:W105,21,FALSE),4),0) - IF(ISNUMBER(VLOOKUP("5",A2:W105,21,FALSE)),ROUND(VLOOKUP("5",A2:W105,21,FALSE),4),0)</f>
        <v>19627900</v>
      </c>
      <c r="V104" s="11">
        <f>IF(ISNUMBER(VLOOKUP("1",A2:W105,22,FALSE)),ROUND(VLOOKUP("1",A2:W105,22,FALSE),4),0) - (IF(ISNUMBER(VLOOKUP("2.1",A2:W105,22,FALSE)),ROUND(VLOOKUP("2.1",A2:W105,22,FALSE),4),0) + IF(ISNUMBER(VLOOKUP("10.1.2",A2:W105,22,FALSE)),ROUND(VLOOKUP("10.1.2",A2:W105,22,FALSE),4),0)) + IF(ISNUMBER(VLOOKUP("4",A2:W105,22,FALSE)),ROUND(VLOOKUP("4",A2:W105,22,FALSE),4),0) - IF(ISNUMBER(VLOOKUP("5",A2:W105,22,FALSE)),ROUND(VLOOKUP("5",A2:W105,22,FALSE),4),0)</f>
        <v>21098841</v>
      </c>
      <c r="W104" s="11">
        <f>IF(ISNUMBER(VLOOKUP("1",A2:W105,23,FALSE)),ROUND(VLOOKUP("1",A2:W105,23,FALSE),4),0) - (IF(ISNUMBER(VLOOKUP("2.1",A2:W105,23,FALSE)),ROUND(VLOOKUP("2.1",A2:W105,23,FALSE),4),0) + IF(ISNUMBER(VLOOKUP("10.1.2",A2:W105,23,FALSE)),ROUND(VLOOKUP("10.1.2",A2:W105,23,FALSE),4),0)) + IF(ISNUMBER(VLOOKUP("4",A2:W105,23,FALSE)),ROUND(VLOOKUP("4",A2:W105,23,FALSE),4),0) - IF(ISNUMBER(VLOOKUP("5",A2:W105,23,FALSE)),ROUND(VLOOKUP("5",A2:W105,23,FALSE),4),0)</f>
        <v>24713326</v>
      </c>
    </row>
  </sheetData>
  <mergeCells count="5">
    <mergeCell ref="C56:W56"/>
    <mergeCell ref="C59:W59"/>
    <mergeCell ref="C67:W67"/>
    <mergeCell ref="C80:W80"/>
    <mergeCell ref="C99:W99"/>
  </mergeCells>
  <conditionalFormatting sqref="B31:W31">
    <cfRule type="beginsWith" dxfId="5" priority="1" operator="beginsWith" text="Tak">
      <formula>LEFT(B31,LEN("Tak"))="Tak"</formula>
    </cfRule>
    <cfRule type="beginsWith" dxfId="4" priority="2" operator="beginsWith" text="Nie">
      <formula>LEFT(B31,LEN("Nie"))="Nie"</formula>
    </cfRule>
  </conditionalFormatting>
  <conditionalFormatting sqref="B65:W65">
    <cfRule type="beginsWith" dxfId="3" priority="3" operator="beginsWith" text="Tak">
      <formula>LEFT(B65,LEN("Tak"))="Tak"</formula>
    </cfRule>
    <cfRule type="beginsWith" dxfId="2" priority="4" operator="beginsWith" text="Nie">
      <formula>LEFT(B65,LEN("Nie"))="Nie"</formula>
    </cfRule>
  </conditionalFormatting>
  <conditionalFormatting sqref="B66:W66">
    <cfRule type="beginsWith" dxfId="1" priority="5" operator="beginsWith" text="Tak">
      <formula>LEFT(B66,LEN("Tak"))="Tak"</formula>
    </cfRule>
    <cfRule type="beginsWith" dxfId="0" priority="6" operator="beginsWith" text="Nie">
      <formula>LEFT(B66,LEN("Nie"))="Nie"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Tatiana Cynka</cp:lastModifiedBy>
  <dcterms:created xsi:type="dcterms:W3CDTF">2021-12-27T08:00:52Z</dcterms:created>
  <dcterms:modified xsi:type="dcterms:W3CDTF">2021-12-27T08:00:52Z</dcterms:modified>
</cp:coreProperties>
</file>